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placeholders" codeName="ThisWorkbook"/>
  <workbookProtection workbookPassword="C071" lockStructure="1"/>
  <bookViews>
    <workbookView xWindow="9450" yWindow="0" windowWidth="11040" windowHeight="8070" tabRatio="530"/>
  </bookViews>
  <sheets>
    <sheet name="Simulator" sheetId="1" r:id="rId1"/>
    <sheet name="Calculation_440" sheetId="348" state="hidden" r:id="rId2"/>
    <sheet name="Calculation_445" sheetId="352" state="hidden" r:id="rId3"/>
    <sheet name="Tsスペック算出" sheetId="350" state="hidden" r:id="rId4"/>
  </sheets>
  <definedNames>
    <definedName name="_xlnm.Print_Area" localSheetId="1">Calculation_440!$A$1:$AF$176</definedName>
    <definedName name="_xlnm.Print_Area" localSheetId="2">Calculation_445!$A$1:$AF$176</definedName>
    <definedName name="_xlnm.Print_Area" localSheetId="0">Simulator!$A$1:$O$14</definedName>
  </definedNames>
  <calcPr calcId="145621"/>
</workbook>
</file>

<file path=xl/calcChain.xml><?xml version="1.0" encoding="utf-8"?>
<calcChain xmlns="http://schemas.openxmlformats.org/spreadsheetml/2006/main">
  <c r="H6" i="1" l="1"/>
  <c r="B4" i="350"/>
  <c r="B3" i="350"/>
  <c r="B2" i="350"/>
  <c r="A4" i="350"/>
  <c r="A3" i="350"/>
  <c r="A2" i="350"/>
  <c r="R175" i="352"/>
  <c r="R167" i="352"/>
  <c r="S159" i="352"/>
  <c r="Q159" i="352"/>
  <c r="S156" i="352"/>
  <c r="Q156" i="352"/>
  <c r="Q153" i="352"/>
  <c r="R176" i="352" s="1"/>
  <c r="V150" i="352"/>
  <c r="J150" i="352"/>
  <c r="V149" i="352"/>
  <c r="J149" i="352"/>
  <c r="V148" i="352"/>
  <c r="J148" i="352"/>
  <c r="V147" i="352"/>
  <c r="J147" i="352"/>
  <c r="V146" i="352"/>
  <c r="J146" i="352"/>
  <c r="V145" i="352"/>
  <c r="J145" i="352"/>
  <c r="V144" i="352"/>
  <c r="J144" i="352"/>
  <c r="V143" i="352"/>
  <c r="J143" i="352"/>
  <c r="V142" i="352"/>
  <c r="J142" i="352"/>
  <c r="V141" i="352"/>
  <c r="J141" i="352"/>
  <c r="V140" i="352"/>
  <c r="J140" i="352"/>
  <c r="V139" i="352"/>
  <c r="J139" i="352"/>
  <c r="V138" i="352"/>
  <c r="J138" i="352"/>
  <c r="V137" i="352"/>
  <c r="J137" i="352"/>
  <c r="AF133" i="352"/>
  <c r="AE133" i="352"/>
  <c r="AD133" i="352"/>
  <c r="AC133" i="352"/>
  <c r="AB133" i="352"/>
  <c r="AA133" i="352"/>
  <c r="Z133" i="352"/>
  <c r="Y133" i="352"/>
  <c r="X133" i="352"/>
  <c r="W133" i="352"/>
  <c r="V133" i="352"/>
  <c r="U133" i="352"/>
  <c r="T133" i="352"/>
  <c r="S133" i="352"/>
  <c r="R133" i="352"/>
  <c r="Q133" i="352"/>
  <c r="P133" i="352"/>
  <c r="O133" i="352"/>
  <c r="N133" i="352"/>
  <c r="M133" i="352"/>
  <c r="L133" i="352"/>
  <c r="J133" i="352"/>
  <c r="I133" i="352"/>
  <c r="H133" i="352"/>
  <c r="G133" i="352" s="1"/>
  <c r="AF132" i="352"/>
  <c r="AE132" i="352"/>
  <c r="AD132" i="352"/>
  <c r="AC132" i="352"/>
  <c r="AB132" i="352"/>
  <c r="AA132" i="352"/>
  <c r="Z132" i="352"/>
  <c r="Y132" i="352"/>
  <c r="X132" i="352"/>
  <c r="W132" i="352"/>
  <c r="V132" i="352"/>
  <c r="U132" i="352"/>
  <c r="T132" i="352"/>
  <c r="S132" i="352"/>
  <c r="R132" i="352"/>
  <c r="Q132" i="352"/>
  <c r="P132" i="352"/>
  <c r="O132" i="352"/>
  <c r="N132" i="352"/>
  <c r="M132" i="352"/>
  <c r="L132" i="352"/>
  <c r="J132" i="352"/>
  <c r="I132" i="352"/>
  <c r="H132" i="352"/>
  <c r="G132" i="352" s="1"/>
  <c r="AF131" i="352"/>
  <c r="AE131" i="352"/>
  <c r="AD131" i="352"/>
  <c r="AC131" i="352"/>
  <c r="AB131" i="352"/>
  <c r="AA131" i="352"/>
  <c r="Z131" i="352"/>
  <c r="Y131" i="352"/>
  <c r="X131" i="352"/>
  <c r="W131" i="352"/>
  <c r="V131" i="352"/>
  <c r="U131" i="352"/>
  <c r="T131" i="352"/>
  <c r="S131" i="352"/>
  <c r="R131" i="352"/>
  <c r="Q131" i="352"/>
  <c r="P131" i="352"/>
  <c r="O131" i="352"/>
  <c r="N131" i="352"/>
  <c r="M131" i="352"/>
  <c r="L131" i="352"/>
  <c r="J131" i="352"/>
  <c r="I131" i="352"/>
  <c r="H131" i="352"/>
  <c r="AF130" i="352"/>
  <c r="AE130" i="352"/>
  <c r="AD130" i="352"/>
  <c r="AC130" i="352"/>
  <c r="AB130" i="352"/>
  <c r="AA130" i="352"/>
  <c r="Z130" i="352"/>
  <c r="Y130" i="352"/>
  <c r="X130" i="352"/>
  <c r="W130" i="352"/>
  <c r="V130" i="352"/>
  <c r="U130" i="352"/>
  <c r="T130" i="352"/>
  <c r="S130" i="352"/>
  <c r="R130" i="352"/>
  <c r="Q130" i="352"/>
  <c r="P130" i="352"/>
  <c r="O130" i="352"/>
  <c r="N130" i="352"/>
  <c r="M130" i="352"/>
  <c r="L130" i="352"/>
  <c r="J130" i="352"/>
  <c r="I130" i="352"/>
  <c r="G130" i="352" s="1"/>
  <c r="H130" i="352"/>
  <c r="AF129" i="352"/>
  <c r="AE129" i="352"/>
  <c r="AD129" i="352"/>
  <c r="AC129" i="352"/>
  <c r="AB129" i="352"/>
  <c r="AA129" i="352"/>
  <c r="Z129" i="352"/>
  <c r="Y129" i="352"/>
  <c r="X129" i="352"/>
  <c r="W129" i="352"/>
  <c r="V129" i="352"/>
  <c r="U129" i="352"/>
  <c r="T129" i="352"/>
  <c r="S129" i="352"/>
  <c r="R129" i="352"/>
  <c r="Q129" i="352"/>
  <c r="P129" i="352"/>
  <c r="O129" i="352"/>
  <c r="N129" i="352"/>
  <c r="M129" i="352"/>
  <c r="L129" i="352"/>
  <c r="J129" i="352"/>
  <c r="I129" i="352"/>
  <c r="H129" i="352"/>
  <c r="G129" i="352" s="1"/>
  <c r="AF128" i="352"/>
  <c r="AE128" i="352"/>
  <c r="AD128" i="352"/>
  <c r="AC128" i="352"/>
  <c r="AB128" i="352"/>
  <c r="AA128" i="352"/>
  <c r="Z128" i="352"/>
  <c r="Y128" i="352"/>
  <c r="X128" i="352"/>
  <c r="W128" i="352"/>
  <c r="V128" i="352"/>
  <c r="U128" i="352"/>
  <c r="T128" i="352"/>
  <c r="S128" i="352"/>
  <c r="R128" i="352"/>
  <c r="Q128" i="352"/>
  <c r="P128" i="352"/>
  <c r="O128" i="352"/>
  <c r="N128" i="352"/>
  <c r="M128" i="352"/>
  <c r="L128" i="352"/>
  <c r="J128" i="352"/>
  <c r="I128" i="352"/>
  <c r="H128" i="352"/>
  <c r="G128" i="352"/>
  <c r="AF127" i="352"/>
  <c r="AE127" i="352"/>
  <c r="AD127" i="352"/>
  <c r="AC127" i="352"/>
  <c r="AB127" i="352"/>
  <c r="AA127" i="352"/>
  <c r="Z127" i="352"/>
  <c r="Y127" i="352"/>
  <c r="X127" i="352"/>
  <c r="W127" i="352"/>
  <c r="V127" i="352"/>
  <c r="U127" i="352"/>
  <c r="T127" i="352"/>
  <c r="S127" i="352"/>
  <c r="R127" i="352"/>
  <c r="Q127" i="352"/>
  <c r="P127" i="352"/>
  <c r="O127" i="352"/>
  <c r="N127" i="352"/>
  <c r="M127" i="352"/>
  <c r="L127" i="352"/>
  <c r="J127" i="352"/>
  <c r="I127" i="352"/>
  <c r="H127" i="352"/>
  <c r="AF126" i="352"/>
  <c r="AE126" i="352"/>
  <c r="AD126" i="352"/>
  <c r="AC126" i="352"/>
  <c r="AB126" i="352"/>
  <c r="AA126" i="352"/>
  <c r="Z126" i="352"/>
  <c r="Y126" i="352"/>
  <c r="X126" i="352"/>
  <c r="W126" i="352"/>
  <c r="V126" i="352"/>
  <c r="U126" i="352"/>
  <c r="T126" i="352"/>
  <c r="S126" i="352"/>
  <c r="R126" i="352"/>
  <c r="Q126" i="352"/>
  <c r="P126" i="352"/>
  <c r="O126" i="352"/>
  <c r="N126" i="352"/>
  <c r="M126" i="352"/>
  <c r="L126" i="352"/>
  <c r="J126" i="352"/>
  <c r="I126" i="352"/>
  <c r="H126" i="352"/>
  <c r="G126" i="352"/>
  <c r="AF125" i="352"/>
  <c r="AE125" i="352"/>
  <c r="AD125" i="352"/>
  <c r="AC125" i="352"/>
  <c r="AB125" i="352"/>
  <c r="AA125" i="352"/>
  <c r="Z125" i="352"/>
  <c r="Y125" i="352"/>
  <c r="X125" i="352"/>
  <c r="W125" i="352"/>
  <c r="V125" i="352"/>
  <c r="U125" i="352"/>
  <c r="T125" i="352"/>
  <c r="S125" i="352"/>
  <c r="R125" i="352"/>
  <c r="Q125" i="352"/>
  <c r="P125" i="352"/>
  <c r="O125" i="352"/>
  <c r="N125" i="352"/>
  <c r="M125" i="352"/>
  <c r="L125" i="352"/>
  <c r="J125" i="352"/>
  <c r="I125" i="352"/>
  <c r="H125" i="352"/>
  <c r="G125" i="352" s="1"/>
  <c r="E125" i="352"/>
  <c r="AF124" i="352"/>
  <c r="AE124" i="352"/>
  <c r="AD124" i="352"/>
  <c r="AC124" i="352"/>
  <c r="AB124" i="352"/>
  <c r="AA124" i="352"/>
  <c r="Z124" i="352"/>
  <c r="Y124" i="352"/>
  <c r="X124" i="352"/>
  <c r="W124" i="352"/>
  <c r="V124" i="352"/>
  <c r="U124" i="352"/>
  <c r="T124" i="352"/>
  <c r="S124" i="352"/>
  <c r="R124" i="352"/>
  <c r="Q124" i="352"/>
  <c r="P124" i="352"/>
  <c r="O124" i="352"/>
  <c r="N124" i="352"/>
  <c r="M124" i="352"/>
  <c r="L124" i="352"/>
  <c r="J124" i="352"/>
  <c r="I124" i="352"/>
  <c r="G124" i="352" s="1"/>
  <c r="H124" i="352"/>
  <c r="AF123" i="352"/>
  <c r="AE123" i="352"/>
  <c r="AD123" i="352"/>
  <c r="AC123" i="352"/>
  <c r="AB123" i="352"/>
  <c r="AA123" i="352"/>
  <c r="Z123" i="352"/>
  <c r="Y123" i="352"/>
  <c r="X123" i="352"/>
  <c r="W123" i="352"/>
  <c r="V123" i="352"/>
  <c r="U123" i="352"/>
  <c r="T123" i="352"/>
  <c r="S123" i="352"/>
  <c r="R123" i="352"/>
  <c r="Q123" i="352"/>
  <c r="P123" i="352"/>
  <c r="O123" i="352"/>
  <c r="N123" i="352"/>
  <c r="M123" i="352"/>
  <c r="L123" i="352"/>
  <c r="J123" i="352"/>
  <c r="I123" i="352"/>
  <c r="H123" i="352"/>
  <c r="G123" i="352" s="1"/>
  <c r="E123" i="352"/>
  <c r="AF122" i="352"/>
  <c r="AE122" i="352"/>
  <c r="AD122" i="352"/>
  <c r="AC122" i="352"/>
  <c r="AB122" i="352"/>
  <c r="AA122" i="352"/>
  <c r="Z122" i="352"/>
  <c r="Y122" i="352"/>
  <c r="X122" i="352"/>
  <c r="W122" i="352"/>
  <c r="V122" i="352"/>
  <c r="U122" i="352"/>
  <c r="T122" i="352"/>
  <c r="S122" i="352"/>
  <c r="R122" i="352"/>
  <c r="Q122" i="352"/>
  <c r="P122" i="352"/>
  <c r="O122" i="352"/>
  <c r="N122" i="352"/>
  <c r="M122" i="352"/>
  <c r="L122" i="352"/>
  <c r="J122" i="352"/>
  <c r="I122" i="352"/>
  <c r="H122" i="352"/>
  <c r="G122" i="352" s="1"/>
  <c r="C122" i="352"/>
  <c r="B122" i="352"/>
  <c r="AF121" i="352"/>
  <c r="AE121" i="352"/>
  <c r="AD121" i="352"/>
  <c r="AC121" i="352"/>
  <c r="AB121" i="352"/>
  <c r="J121" i="352"/>
  <c r="I121" i="352"/>
  <c r="H121" i="352"/>
  <c r="F121" i="352"/>
  <c r="E121" i="352"/>
  <c r="D121" i="352"/>
  <c r="C121" i="352"/>
  <c r="B121" i="352"/>
  <c r="AF120" i="352"/>
  <c r="AE120" i="352"/>
  <c r="AD120" i="352"/>
  <c r="AC120" i="352"/>
  <c r="AB120" i="352"/>
  <c r="J120" i="352"/>
  <c r="I120" i="352"/>
  <c r="H120" i="352"/>
  <c r="G120" i="352" s="1"/>
  <c r="F120" i="352"/>
  <c r="E120" i="352"/>
  <c r="D120" i="352"/>
  <c r="C120" i="352"/>
  <c r="B120" i="352"/>
  <c r="AE119" i="352"/>
  <c r="AD119" i="352"/>
  <c r="O119" i="352"/>
  <c r="N119" i="352"/>
  <c r="F119" i="352"/>
  <c r="E119" i="352"/>
  <c r="D119" i="352"/>
  <c r="C119" i="352"/>
  <c r="B119" i="352"/>
  <c r="AF118" i="352"/>
  <c r="AE118" i="352"/>
  <c r="AD118" i="352"/>
  <c r="AC118" i="352"/>
  <c r="AB118" i="352"/>
  <c r="AA118" i="352"/>
  <c r="Z118" i="352"/>
  <c r="Y118" i="352"/>
  <c r="X118" i="352"/>
  <c r="W118" i="352"/>
  <c r="V118" i="352"/>
  <c r="U118" i="352"/>
  <c r="T118" i="352"/>
  <c r="S118" i="352"/>
  <c r="R118" i="352"/>
  <c r="Q118" i="352"/>
  <c r="P118" i="352"/>
  <c r="O118" i="352"/>
  <c r="N118" i="352"/>
  <c r="M118" i="352"/>
  <c r="L118" i="352"/>
  <c r="K141" i="352" s="1"/>
  <c r="H141" i="352" s="1"/>
  <c r="L116" i="352"/>
  <c r="L115" i="352"/>
  <c r="L114" i="352"/>
  <c r="R113" i="352"/>
  <c r="L113" i="352"/>
  <c r="L112" i="352"/>
  <c r="R111" i="352"/>
  <c r="L111" i="352"/>
  <c r="L110" i="352"/>
  <c r="R109" i="352"/>
  <c r="L109" i="352"/>
  <c r="L108" i="352"/>
  <c r="L107" i="352"/>
  <c r="L106" i="352"/>
  <c r="R105" i="352"/>
  <c r="L105" i="352"/>
  <c r="L104" i="352"/>
  <c r="R103" i="352"/>
  <c r="L103" i="352"/>
  <c r="S99" i="352"/>
  <c r="Q99" i="352"/>
  <c r="S96" i="352"/>
  <c r="Q96" i="352"/>
  <c r="Q93" i="352"/>
  <c r="R116" i="352" s="1"/>
  <c r="K90" i="352"/>
  <c r="K89" i="352"/>
  <c r="H89" i="352" s="1"/>
  <c r="K88" i="352"/>
  <c r="K87" i="352"/>
  <c r="K86" i="352"/>
  <c r="K85" i="352"/>
  <c r="J85" i="352"/>
  <c r="P111" i="352" s="1"/>
  <c r="P171" i="352" s="1"/>
  <c r="K84" i="352"/>
  <c r="K83" i="352"/>
  <c r="J83" i="352"/>
  <c r="P109" i="352" s="1"/>
  <c r="P169" i="352" s="1"/>
  <c r="K82" i="352"/>
  <c r="J82" i="352"/>
  <c r="P108" i="352" s="1"/>
  <c r="P168" i="352" s="1"/>
  <c r="K81" i="352"/>
  <c r="K80" i="352"/>
  <c r="H80" i="352" s="1"/>
  <c r="J80" i="352"/>
  <c r="P106" i="352" s="1"/>
  <c r="P166" i="352" s="1"/>
  <c r="K79" i="352"/>
  <c r="K76" i="352"/>
  <c r="K73" i="352"/>
  <c r="K133" i="352" s="1"/>
  <c r="J73" i="352"/>
  <c r="J90" i="352" s="1"/>
  <c r="P116" i="352" s="1"/>
  <c r="P176" i="352" s="1"/>
  <c r="G73" i="352"/>
  <c r="K72" i="352"/>
  <c r="K132" i="352" s="1"/>
  <c r="J72" i="352"/>
  <c r="J89" i="352" s="1"/>
  <c r="P115" i="352" s="1"/>
  <c r="P175" i="352" s="1"/>
  <c r="G72" i="352"/>
  <c r="K71" i="352"/>
  <c r="K131" i="352" s="1"/>
  <c r="J71" i="352"/>
  <c r="J88" i="352" s="1"/>
  <c r="P114" i="352" s="1"/>
  <c r="P174" i="352" s="1"/>
  <c r="G71" i="352"/>
  <c r="K70" i="352"/>
  <c r="K130" i="352" s="1"/>
  <c r="J70" i="352"/>
  <c r="J87" i="352" s="1"/>
  <c r="P113" i="352" s="1"/>
  <c r="P173" i="352" s="1"/>
  <c r="G70" i="352"/>
  <c r="K69" i="352"/>
  <c r="K129" i="352" s="1"/>
  <c r="J69" i="352"/>
  <c r="J86" i="352" s="1"/>
  <c r="P112" i="352" s="1"/>
  <c r="P172" i="352" s="1"/>
  <c r="G69" i="352"/>
  <c r="K68" i="352"/>
  <c r="K128" i="352" s="1"/>
  <c r="J68" i="352"/>
  <c r="G68" i="352"/>
  <c r="E68" i="352"/>
  <c r="K67" i="352"/>
  <c r="K127" i="352" s="1"/>
  <c r="J67" i="352"/>
  <c r="J84" i="352" s="1"/>
  <c r="P110" i="352" s="1"/>
  <c r="P170" i="352" s="1"/>
  <c r="G67" i="352"/>
  <c r="K66" i="352"/>
  <c r="K126" i="352" s="1"/>
  <c r="J66" i="352"/>
  <c r="G66" i="352"/>
  <c r="E66" i="352"/>
  <c r="K65" i="352"/>
  <c r="K125" i="352" s="1"/>
  <c r="J65" i="352"/>
  <c r="G65" i="352"/>
  <c r="K64" i="352"/>
  <c r="K124" i="352" s="1"/>
  <c r="J64" i="352"/>
  <c r="J81" i="352" s="1"/>
  <c r="P107" i="352" s="1"/>
  <c r="P167" i="352" s="1"/>
  <c r="G64" i="352"/>
  <c r="K63" i="352"/>
  <c r="K123" i="352" s="1"/>
  <c r="J63" i="352"/>
  <c r="G63" i="352"/>
  <c r="K62" i="352"/>
  <c r="K122" i="352" s="1"/>
  <c r="J62" i="352"/>
  <c r="J79" i="352" s="1"/>
  <c r="P105" i="352" s="1"/>
  <c r="P165" i="352" s="1"/>
  <c r="G62" i="352"/>
  <c r="C62" i="352"/>
  <c r="B62" i="352"/>
  <c r="J61" i="352"/>
  <c r="J78" i="352" s="1"/>
  <c r="P104" i="352" s="1"/>
  <c r="P164" i="352" s="1"/>
  <c r="G61" i="352"/>
  <c r="F61" i="352"/>
  <c r="E61" i="352"/>
  <c r="D61" i="352"/>
  <c r="C61" i="352"/>
  <c r="B61" i="352"/>
  <c r="X60" i="352"/>
  <c r="X120" i="352" s="1"/>
  <c r="W60" i="352"/>
  <c r="W120" i="352" s="1"/>
  <c r="P60" i="352"/>
  <c r="P120" i="352" s="1"/>
  <c r="O60" i="352"/>
  <c r="O120" i="352" s="1"/>
  <c r="J60" i="352"/>
  <c r="J77" i="352" s="1"/>
  <c r="P103" i="352" s="1"/>
  <c r="P163" i="352" s="1"/>
  <c r="G60" i="352"/>
  <c r="F60" i="352"/>
  <c r="E60" i="352"/>
  <c r="D60" i="352"/>
  <c r="C60" i="352"/>
  <c r="B60" i="352"/>
  <c r="AF59" i="352"/>
  <c r="AF119" i="352" s="1"/>
  <c r="AE59" i="352"/>
  <c r="AD59" i="352"/>
  <c r="AC59" i="352"/>
  <c r="AC119" i="352" s="1"/>
  <c r="AB59" i="352"/>
  <c r="AB119" i="352" s="1"/>
  <c r="AA59" i="352"/>
  <c r="AA119" i="352" s="1"/>
  <c r="Z59" i="352"/>
  <c r="Z119" i="352" s="1"/>
  <c r="Y59" i="352"/>
  <c r="Y119" i="352" s="1"/>
  <c r="X59" i="352"/>
  <c r="X119" i="352" s="1"/>
  <c r="W59" i="352"/>
  <c r="W119" i="352" s="1"/>
  <c r="V59" i="352"/>
  <c r="V119" i="352" s="1"/>
  <c r="U59" i="352"/>
  <c r="U119" i="352" s="1"/>
  <c r="T59" i="352"/>
  <c r="T119" i="352" s="1"/>
  <c r="S59" i="352"/>
  <c r="S119" i="352" s="1"/>
  <c r="R59" i="352"/>
  <c r="R119" i="352" s="1"/>
  <c r="Q59" i="352"/>
  <c r="Q119" i="352" s="1"/>
  <c r="P59" i="352"/>
  <c r="P119" i="352" s="1"/>
  <c r="O59" i="352"/>
  <c r="N59" i="352"/>
  <c r="M59" i="352"/>
  <c r="M119" i="352" s="1"/>
  <c r="L59" i="352"/>
  <c r="L119" i="352" s="1"/>
  <c r="F59" i="352"/>
  <c r="E59" i="352"/>
  <c r="D59" i="352"/>
  <c r="C59" i="352"/>
  <c r="B59" i="352"/>
  <c r="AA60" i="352"/>
  <c r="AF42" i="352"/>
  <c r="AE42" i="352"/>
  <c r="AD42" i="352"/>
  <c r="AC42" i="352"/>
  <c r="AB42" i="352"/>
  <c r="Y42" i="352"/>
  <c r="X42" i="352"/>
  <c r="U42" i="352"/>
  <c r="T42" i="352"/>
  <c r="Q42" i="352"/>
  <c r="P42" i="352"/>
  <c r="O42" i="352"/>
  <c r="N42" i="352"/>
  <c r="M42" i="352"/>
  <c r="L42" i="352"/>
  <c r="B38" i="352"/>
  <c r="B37" i="352"/>
  <c r="B36" i="352"/>
  <c r="B35" i="352"/>
  <c r="B34" i="352"/>
  <c r="B33" i="352"/>
  <c r="B32" i="352"/>
  <c r="B31" i="352"/>
  <c r="B30" i="352"/>
  <c r="B29" i="352"/>
  <c r="B28" i="352"/>
  <c r="B27" i="352"/>
  <c r="B26" i="352"/>
  <c r="B25" i="352"/>
  <c r="P24" i="352"/>
  <c r="O24" i="352"/>
  <c r="N24" i="352"/>
  <c r="M24" i="352"/>
  <c r="L24" i="352"/>
  <c r="K24" i="352"/>
  <c r="J24" i="352"/>
  <c r="H24" i="352"/>
  <c r="G24" i="352"/>
  <c r="F24" i="352"/>
  <c r="E24" i="352"/>
  <c r="D24" i="352"/>
  <c r="C24" i="352"/>
  <c r="P23" i="352"/>
  <c r="O23" i="352"/>
  <c r="N23" i="352"/>
  <c r="M23" i="352"/>
  <c r="L23" i="352"/>
  <c r="K23" i="352"/>
  <c r="J23" i="352"/>
  <c r="I23" i="352"/>
  <c r="I24" i="352" s="1"/>
  <c r="H23" i="352"/>
  <c r="G23" i="352"/>
  <c r="F23" i="352"/>
  <c r="E23" i="352"/>
  <c r="D23" i="352"/>
  <c r="C23" i="352"/>
  <c r="F2" i="352"/>
  <c r="F3" i="352" s="1"/>
  <c r="E2" i="352"/>
  <c r="E3" i="352" s="1"/>
  <c r="D2" i="352"/>
  <c r="D3" i="352" s="1"/>
  <c r="C2" i="352"/>
  <c r="C3" i="352" s="1"/>
  <c r="H82" i="352" l="1"/>
  <c r="H88" i="352"/>
  <c r="R42" i="352"/>
  <c r="Z42" i="352"/>
  <c r="R169" i="352"/>
  <c r="S42" i="352"/>
  <c r="W42" i="352"/>
  <c r="AA42" i="352"/>
  <c r="H81" i="352"/>
  <c r="H83" i="352"/>
  <c r="R163" i="352"/>
  <c r="R171" i="352"/>
  <c r="V42" i="352"/>
  <c r="H79" i="352"/>
  <c r="H84" i="352"/>
  <c r="R107" i="352"/>
  <c r="R115" i="352"/>
  <c r="R165" i="352"/>
  <c r="R173" i="352"/>
  <c r="H85" i="352"/>
  <c r="H87" i="352"/>
  <c r="H90" i="352"/>
  <c r="AA120" i="352"/>
  <c r="K77" i="352"/>
  <c r="H77" i="352" s="1"/>
  <c r="S60" i="352"/>
  <c r="S120" i="352" s="1"/>
  <c r="L150" i="352"/>
  <c r="L147" i="352"/>
  <c r="L143" i="352"/>
  <c r="L139" i="352"/>
  <c r="L148" i="352"/>
  <c r="O148" i="352" s="1"/>
  <c r="R148" i="352" s="1"/>
  <c r="L144" i="352"/>
  <c r="L140" i="352"/>
  <c r="O140" i="352" s="1"/>
  <c r="R140" i="352" s="1"/>
  <c r="L149" i="352"/>
  <c r="L142" i="352"/>
  <c r="L141" i="352"/>
  <c r="M141" i="352" s="1"/>
  <c r="L145" i="352"/>
  <c r="L137" i="352"/>
  <c r="L138" i="352"/>
  <c r="M116" i="352"/>
  <c r="M114" i="352"/>
  <c r="M112" i="352"/>
  <c r="M110" i="352"/>
  <c r="M108" i="352"/>
  <c r="M106" i="352"/>
  <c r="M104" i="352"/>
  <c r="Q111" i="352"/>
  <c r="M109" i="352"/>
  <c r="M169" i="352" s="1"/>
  <c r="N169" i="352" s="1"/>
  <c r="T169" i="352" s="1"/>
  <c r="Q103" i="352"/>
  <c r="M113" i="352"/>
  <c r="M173" i="352" s="1"/>
  <c r="N173" i="352" s="1"/>
  <c r="T173" i="352" s="1"/>
  <c r="M105" i="352"/>
  <c r="M165" i="352" s="1"/>
  <c r="N165" i="352" s="1"/>
  <c r="T165" i="352" s="1"/>
  <c r="U165" i="352" s="1"/>
  <c r="M111" i="352"/>
  <c r="M171" i="352" s="1"/>
  <c r="N171" i="352" s="1"/>
  <c r="T171" i="352" s="1"/>
  <c r="M103" i="352"/>
  <c r="M163" i="352" s="1"/>
  <c r="N163" i="352" s="1"/>
  <c r="T163" i="352" s="1"/>
  <c r="Q115" i="352"/>
  <c r="Q107" i="352"/>
  <c r="M107" i="352"/>
  <c r="M167" i="352" s="1"/>
  <c r="N167" i="352" s="1"/>
  <c r="T167" i="352" s="1"/>
  <c r="U167" i="352" s="1"/>
  <c r="M115" i="352"/>
  <c r="M175" i="352" s="1"/>
  <c r="N175" i="352" s="1"/>
  <c r="T175" i="352" s="1"/>
  <c r="U175" i="352" s="1"/>
  <c r="Z60" i="352"/>
  <c r="Z120" i="352" s="1"/>
  <c r="V60" i="352"/>
  <c r="V120" i="352" s="1"/>
  <c r="R60" i="352"/>
  <c r="R120" i="352" s="1"/>
  <c r="N60" i="352"/>
  <c r="N120" i="352" s="1"/>
  <c r="Y60" i="352"/>
  <c r="Y120" i="352" s="1"/>
  <c r="U60" i="352"/>
  <c r="U120" i="352" s="1"/>
  <c r="Q60" i="352"/>
  <c r="Q120" i="352" s="1"/>
  <c r="M60" i="352"/>
  <c r="M120" i="352" s="1"/>
  <c r="L60" i="352"/>
  <c r="L120" i="352" s="1"/>
  <c r="T60" i="352"/>
  <c r="T120" i="352" s="1"/>
  <c r="D64" i="352"/>
  <c r="H86" i="352"/>
  <c r="Q109" i="352"/>
  <c r="L146" i="352"/>
  <c r="E64" i="352"/>
  <c r="E70" i="352" s="1"/>
  <c r="N103" i="352"/>
  <c r="T103" i="352" s="1"/>
  <c r="Q116" i="352"/>
  <c r="Q114" i="352"/>
  <c r="Q112" i="352"/>
  <c r="Q110" i="352"/>
  <c r="Q108" i="352"/>
  <c r="Q106" i="352"/>
  <c r="Q104" i="352"/>
  <c r="Q105" i="352"/>
  <c r="Q113" i="352"/>
  <c r="K149" i="352"/>
  <c r="H149" i="352" s="1"/>
  <c r="K150" i="352"/>
  <c r="H150" i="352" s="1"/>
  <c r="K146" i="352"/>
  <c r="H146" i="352" s="1"/>
  <c r="K142" i="352"/>
  <c r="H142" i="352" s="1"/>
  <c r="K147" i="352"/>
  <c r="H147" i="352" s="1"/>
  <c r="K143" i="352"/>
  <c r="H143" i="352" s="1"/>
  <c r="K139" i="352"/>
  <c r="H139" i="352" s="1"/>
  <c r="K148" i="352"/>
  <c r="K145" i="352"/>
  <c r="H145" i="352" s="1"/>
  <c r="K137" i="352"/>
  <c r="H137" i="352" s="1"/>
  <c r="K144" i="352"/>
  <c r="G121" i="352"/>
  <c r="G127" i="352"/>
  <c r="N115" i="352"/>
  <c r="T115" i="352" s="1"/>
  <c r="K136" i="352"/>
  <c r="K140" i="352"/>
  <c r="H140" i="352" s="1"/>
  <c r="Q175" i="352"/>
  <c r="R104" i="352"/>
  <c r="R106" i="352"/>
  <c r="R108" i="352"/>
  <c r="R110" i="352"/>
  <c r="R112" i="352"/>
  <c r="R114" i="352"/>
  <c r="O149" i="352"/>
  <c r="R149" i="352" s="1"/>
  <c r="O142" i="352"/>
  <c r="R142" i="352" s="1"/>
  <c r="O143" i="352"/>
  <c r="R143" i="352" s="1"/>
  <c r="O139" i="352"/>
  <c r="R139" i="352" s="1"/>
  <c r="G131" i="352"/>
  <c r="Q164" i="352"/>
  <c r="Q166" i="352"/>
  <c r="Q168" i="352"/>
  <c r="Q170" i="352"/>
  <c r="Q172" i="352"/>
  <c r="Q174" i="352"/>
  <c r="Q176" i="352"/>
  <c r="R164" i="352"/>
  <c r="R166" i="352"/>
  <c r="R168" i="352"/>
  <c r="R170" i="352"/>
  <c r="R172" i="352"/>
  <c r="R174" i="352"/>
  <c r="Q163" i="352"/>
  <c r="Q165" i="352"/>
  <c r="Q167" i="352"/>
  <c r="Q169" i="352"/>
  <c r="Q171" i="352"/>
  <c r="Q173" i="352"/>
  <c r="U169" i="352" l="1"/>
  <c r="N31" i="352" s="1"/>
  <c r="H148" i="352"/>
  <c r="U171" i="352"/>
  <c r="O33" i="352" s="1"/>
  <c r="N109" i="352"/>
  <c r="T109" i="352" s="1"/>
  <c r="N105" i="352"/>
  <c r="T105" i="352" s="1"/>
  <c r="N107" i="352"/>
  <c r="T107" i="352" s="1"/>
  <c r="N111" i="352"/>
  <c r="T111" i="352" s="1"/>
  <c r="N113" i="352"/>
  <c r="T113" i="352" s="1"/>
  <c r="M139" i="352"/>
  <c r="X165" i="352" s="1"/>
  <c r="M143" i="352"/>
  <c r="X169" i="352" s="1"/>
  <c r="M149" i="352"/>
  <c r="X175" i="352" s="1"/>
  <c r="M150" i="352"/>
  <c r="X176" i="352" s="1"/>
  <c r="M137" i="352"/>
  <c r="X163" i="352" s="1"/>
  <c r="U163" i="352" s="1"/>
  <c r="M146" i="352"/>
  <c r="N146" i="352" s="1"/>
  <c r="Q148" i="352"/>
  <c r="P148" i="352"/>
  <c r="X167" i="352"/>
  <c r="N141" i="352"/>
  <c r="Q142" i="352"/>
  <c r="P142" i="352"/>
  <c r="L89" i="352"/>
  <c r="M89" i="352" s="1"/>
  <c r="L87" i="352"/>
  <c r="M87" i="352" s="1"/>
  <c r="L85" i="352"/>
  <c r="M85" i="352" s="1"/>
  <c r="L83" i="352"/>
  <c r="M83" i="352" s="1"/>
  <c r="L90" i="352"/>
  <c r="M90" i="352" s="1"/>
  <c r="L88" i="352"/>
  <c r="M88" i="352" s="1"/>
  <c r="L82" i="352"/>
  <c r="M82" i="352" s="1"/>
  <c r="L80" i="352"/>
  <c r="M80" i="352" s="1"/>
  <c r="L86" i="352"/>
  <c r="M86" i="352" s="1"/>
  <c r="L84" i="352"/>
  <c r="M84" i="352" s="1"/>
  <c r="L81" i="352"/>
  <c r="M81" i="352" s="1"/>
  <c r="L79" i="352"/>
  <c r="M79" i="352" s="1"/>
  <c r="L77" i="352"/>
  <c r="M77" i="352" s="1"/>
  <c r="Q149" i="352"/>
  <c r="P149" i="352"/>
  <c r="P143" i="352"/>
  <c r="Q143" i="352"/>
  <c r="W175" i="352"/>
  <c r="P37" i="352" s="1"/>
  <c r="O37" i="352"/>
  <c r="K37" i="352"/>
  <c r="N37" i="352"/>
  <c r="J37" i="352"/>
  <c r="L37" i="352"/>
  <c r="M37" i="352"/>
  <c r="W167" i="352"/>
  <c r="P29" i="352" s="1"/>
  <c r="O29" i="352"/>
  <c r="K29" i="352"/>
  <c r="N29" i="352"/>
  <c r="J29" i="352"/>
  <c r="L29" i="352"/>
  <c r="M29" i="352"/>
  <c r="W165" i="352"/>
  <c r="P27" i="352" s="1"/>
  <c r="M27" i="352"/>
  <c r="L27" i="352"/>
  <c r="N27" i="352"/>
  <c r="K27" i="352"/>
  <c r="O27" i="352"/>
  <c r="J27" i="352"/>
  <c r="Q140" i="352"/>
  <c r="P140" i="352"/>
  <c r="M176" i="352"/>
  <c r="N176" i="352" s="1"/>
  <c r="T176" i="352" s="1"/>
  <c r="U176" i="352" s="1"/>
  <c r="N116" i="352"/>
  <c r="T116" i="352" s="1"/>
  <c r="O144" i="352"/>
  <c r="R144" i="352" s="1"/>
  <c r="S144" i="352" s="1"/>
  <c r="W144" i="352" s="1"/>
  <c r="X144" i="352" s="1"/>
  <c r="V170" i="352" s="1"/>
  <c r="P139" i="352"/>
  <c r="Q139" i="352"/>
  <c r="M140" i="352"/>
  <c r="M170" i="352"/>
  <c r="N170" i="352" s="1"/>
  <c r="T170" i="352" s="1"/>
  <c r="N110" i="352"/>
  <c r="T110" i="352" s="1"/>
  <c r="S142" i="352"/>
  <c r="W142" i="352" s="1"/>
  <c r="X142" i="352" s="1"/>
  <c r="V168" i="352" s="1"/>
  <c r="S148" i="352"/>
  <c r="W148" i="352" s="1"/>
  <c r="X148" i="352" s="1"/>
  <c r="V174" i="352" s="1"/>
  <c r="U170" i="352"/>
  <c r="O146" i="352"/>
  <c r="R146" i="352" s="1"/>
  <c r="M144" i="352"/>
  <c r="H144" i="352"/>
  <c r="L31" i="352"/>
  <c r="J31" i="352"/>
  <c r="M164" i="352"/>
  <c r="N164" i="352" s="1"/>
  <c r="T164" i="352" s="1"/>
  <c r="N104" i="352"/>
  <c r="T104" i="352" s="1"/>
  <c r="M172" i="352"/>
  <c r="N172" i="352" s="1"/>
  <c r="T172" i="352" s="1"/>
  <c r="U172" i="352" s="1"/>
  <c r="N112" i="352"/>
  <c r="T112" i="352" s="1"/>
  <c r="S149" i="352"/>
  <c r="W149" i="352" s="1"/>
  <c r="X149" i="352" s="1"/>
  <c r="V175" i="352" s="1"/>
  <c r="S139" i="352"/>
  <c r="W139" i="352" s="1"/>
  <c r="X139" i="352" s="1"/>
  <c r="V165" i="352" s="1"/>
  <c r="M168" i="352"/>
  <c r="N168" i="352" s="1"/>
  <c r="T168" i="352" s="1"/>
  <c r="U168" i="352" s="1"/>
  <c r="N108" i="352"/>
  <c r="T108" i="352" s="1"/>
  <c r="M147" i="352"/>
  <c r="O141" i="352"/>
  <c r="R141" i="352" s="1"/>
  <c r="W171" i="352"/>
  <c r="P33" i="352" s="1"/>
  <c r="N33" i="352"/>
  <c r="O147" i="352"/>
  <c r="R147" i="352" s="1"/>
  <c r="O150" i="352"/>
  <c r="R150" i="352" s="1"/>
  <c r="S150" i="352" s="1"/>
  <c r="W150" i="352" s="1"/>
  <c r="X150" i="352" s="1"/>
  <c r="V176" i="352" s="1"/>
  <c r="U173" i="352"/>
  <c r="M142" i="352"/>
  <c r="M145" i="352"/>
  <c r="M148" i="352"/>
  <c r="M166" i="352"/>
  <c r="N166" i="352" s="1"/>
  <c r="T166" i="352" s="1"/>
  <c r="U166" i="352" s="1"/>
  <c r="N106" i="352"/>
  <c r="T106" i="352" s="1"/>
  <c r="M174" i="352"/>
  <c r="N174" i="352" s="1"/>
  <c r="T174" i="352" s="1"/>
  <c r="U174" i="352" s="1"/>
  <c r="N114" i="352"/>
  <c r="T114" i="352" s="1"/>
  <c r="O145" i="352"/>
  <c r="R145" i="352" s="1"/>
  <c r="S145" i="352" s="1"/>
  <c r="W145" i="352" s="1"/>
  <c r="X145" i="352" s="1"/>
  <c r="V171" i="352" s="1"/>
  <c r="S140" i="352"/>
  <c r="W140" i="352" s="1"/>
  <c r="X140" i="352" s="1"/>
  <c r="V166" i="352" s="1"/>
  <c r="S143" i="352"/>
  <c r="W143" i="352" s="1"/>
  <c r="X143" i="352" s="1"/>
  <c r="V169" i="352" s="1"/>
  <c r="K31" i="352" l="1"/>
  <c r="M31" i="352"/>
  <c r="O31" i="352"/>
  <c r="W169" i="352"/>
  <c r="P31" i="352" s="1"/>
  <c r="J33" i="352"/>
  <c r="M33" i="352"/>
  <c r="K33" i="352"/>
  <c r="L33" i="352"/>
  <c r="N143" i="352"/>
  <c r="U143" i="352" s="1"/>
  <c r="N139" i="352"/>
  <c r="U139" i="352" s="1"/>
  <c r="N149" i="352"/>
  <c r="U149" i="352" s="1"/>
  <c r="N150" i="352"/>
  <c r="U150" i="352" s="1"/>
  <c r="X172" i="352"/>
  <c r="N137" i="352"/>
  <c r="W174" i="352"/>
  <c r="P36" i="352" s="1"/>
  <c r="N36" i="352"/>
  <c r="J36" i="352"/>
  <c r="M36" i="352"/>
  <c r="L36" i="352"/>
  <c r="O36" i="352"/>
  <c r="K36" i="352"/>
  <c r="W168" i="352"/>
  <c r="P30" i="352" s="1"/>
  <c r="L30" i="352"/>
  <c r="O30" i="352"/>
  <c r="K30" i="352"/>
  <c r="M30" i="352"/>
  <c r="N30" i="352"/>
  <c r="J30" i="352"/>
  <c r="W172" i="352"/>
  <c r="P34" i="352" s="1"/>
  <c r="L34" i="352"/>
  <c r="O34" i="352"/>
  <c r="K34" i="352"/>
  <c r="M34" i="352"/>
  <c r="N34" i="352"/>
  <c r="J34" i="352"/>
  <c r="N25" i="352"/>
  <c r="W166" i="352"/>
  <c r="P28" i="352" s="1"/>
  <c r="N28" i="352"/>
  <c r="J28" i="352"/>
  <c r="M28" i="352"/>
  <c r="L28" i="352"/>
  <c r="O28" i="352"/>
  <c r="K28" i="352"/>
  <c r="P147" i="352"/>
  <c r="Q147" i="352"/>
  <c r="X173" i="352"/>
  <c r="N147" i="352"/>
  <c r="N84" i="352"/>
  <c r="O84" i="352"/>
  <c r="N85" i="352"/>
  <c r="O85" i="352"/>
  <c r="W173" i="352"/>
  <c r="P35" i="352" s="1"/>
  <c r="M35" i="352"/>
  <c r="L35" i="352"/>
  <c r="N35" i="352"/>
  <c r="O35" i="352"/>
  <c r="K35" i="352"/>
  <c r="J35" i="352"/>
  <c r="S147" i="352"/>
  <c r="W147" i="352" s="1"/>
  <c r="X147" i="352" s="1"/>
  <c r="V173" i="352" s="1"/>
  <c r="W170" i="352"/>
  <c r="P32" i="352" s="1"/>
  <c r="N32" i="352"/>
  <c r="J32" i="352"/>
  <c r="M32" i="352"/>
  <c r="L32" i="352"/>
  <c r="O32" i="352"/>
  <c r="K32" i="352"/>
  <c r="N86" i="352"/>
  <c r="O86" i="352"/>
  <c r="N87" i="352"/>
  <c r="O87" i="352"/>
  <c r="X174" i="352"/>
  <c r="N148" i="352"/>
  <c r="U148" i="352" s="1"/>
  <c r="Q141" i="352"/>
  <c r="P141" i="352"/>
  <c r="S141" i="352"/>
  <c r="W141" i="352" s="1"/>
  <c r="X141" i="352" s="1"/>
  <c r="V167" i="352" s="1"/>
  <c r="N79" i="352"/>
  <c r="O79" i="352"/>
  <c r="N90" i="352"/>
  <c r="O90" i="352"/>
  <c r="N89" i="352"/>
  <c r="O89" i="352"/>
  <c r="X168" i="352"/>
  <c r="N142" i="352"/>
  <c r="U142" i="352" s="1"/>
  <c r="P146" i="352"/>
  <c r="Q146" i="352"/>
  <c r="W176" i="352"/>
  <c r="P38" i="352" s="1"/>
  <c r="L38" i="352"/>
  <c r="O38" i="352"/>
  <c r="K38" i="352"/>
  <c r="M38" i="352"/>
  <c r="J38" i="352"/>
  <c r="N38" i="352"/>
  <c r="N82" i="352"/>
  <c r="O82" i="352"/>
  <c r="X170" i="352"/>
  <c r="N144" i="352"/>
  <c r="U144" i="352" s="1"/>
  <c r="Q144" i="352"/>
  <c r="P144" i="352"/>
  <c r="N77" i="352"/>
  <c r="N88" i="352"/>
  <c r="O88" i="352"/>
  <c r="K25" i="352"/>
  <c r="Q145" i="352"/>
  <c r="P145" i="352"/>
  <c r="X171" i="352"/>
  <c r="N145" i="352"/>
  <c r="U145" i="352" s="1"/>
  <c r="P150" i="352"/>
  <c r="Q150" i="352"/>
  <c r="S146" i="352"/>
  <c r="W146" i="352" s="1"/>
  <c r="X146" i="352" s="1"/>
  <c r="V172" i="352" s="1"/>
  <c r="X166" i="352"/>
  <c r="N140" i="352"/>
  <c r="U140" i="352" s="1"/>
  <c r="N81" i="352"/>
  <c r="O81" i="352"/>
  <c r="N80" i="352"/>
  <c r="O80" i="352"/>
  <c r="N83" i="352"/>
  <c r="O83" i="352"/>
  <c r="J25" i="352"/>
  <c r="U141" i="352" l="1"/>
  <c r="P83" i="352"/>
  <c r="Q83" i="352"/>
  <c r="R83" i="352"/>
  <c r="S83" i="352" s="1"/>
  <c r="Q79" i="352"/>
  <c r="P79" i="352"/>
  <c r="R79" i="352"/>
  <c r="S79" i="352" s="1"/>
  <c r="U109" i="352"/>
  <c r="U107" i="352"/>
  <c r="U103" i="352"/>
  <c r="U108" i="352"/>
  <c r="U116" i="352"/>
  <c r="U112" i="352"/>
  <c r="P85" i="352"/>
  <c r="Q85" i="352"/>
  <c r="R85" i="352"/>
  <c r="S85" i="352" s="1"/>
  <c r="U147" i="352"/>
  <c r="Q81" i="352"/>
  <c r="P81" i="352"/>
  <c r="R81" i="352"/>
  <c r="S81" i="352" s="1"/>
  <c r="Q82" i="352"/>
  <c r="P82" i="352"/>
  <c r="R82" i="352"/>
  <c r="S82" i="352" s="1"/>
  <c r="Q90" i="352"/>
  <c r="P90" i="352"/>
  <c r="R90" i="352"/>
  <c r="S90" i="352" s="1"/>
  <c r="U113" i="352"/>
  <c r="P84" i="352"/>
  <c r="Q84" i="352"/>
  <c r="R84" i="352"/>
  <c r="S84" i="352" s="1"/>
  <c r="U105" i="352"/>
  <c r="Q86" i="352"/>
  <c r="P86" i="352"/>
  <c r="R86" i="352"/>
  <c r="S86" i="352" s="1"/>
  <c r="U110" i="352"/>
  <c r="Q80" i="352"/>
  <c r="P80" i="352"/>
  <c r="R80" i="352"/>
  <c r="S80" i="352" s="1"/>
  <c r="Q88" i="352"/>
  <c r="P88" i="352"/>
  <c r="R88" i="352"/>
  <c r="S88" i="352" s="1"/>
  <c r="P89" i="352"/>
  <c r="Q89" i="352"/>
  <c r="R89" i="352"/>
  <c r="S89" i="352" s="1"/>
  <c r="U146" i="352"/>
  <c r="U106" i="352"/>
  <c r="U114" i="352"/>
  <c r="U115" i="352"/>
  <c r="P87" i="352"/>
  <c r="Q87" i="352"/>
  <c r="R87" i="352"/>
  <c r="S87" i="352" s="1"/>
  <c r="U111" i="352"/>
  <c r="W81" i="352" l="1"/>
  <c r="X81" i="352" s="1"/>
  <c r="V107" i="352" s="1"/>
  <c r="W107" i="352" s="1"/>
  <c r="I29" i="352" s="1"/>
  <c r="U81" i="352"/>
  <c r="W80" i="352"/>
  <c r="X80" i="352" s="1"/>
  <c r="V106" i="352" s="1"/>
  <c r="W106" i="352" s="1"/>
  <c r="I28" i="352" s="1"/>
  <c r="U80" i="352"/>
  <c r="W87" i="352"/>
  <c r="X87" i="352" s="1"/>
  <c r="V113" i="352" s="1"/>
  <c r="W113" i="352" s="1"/>
  <c r="I35" i="352" s="1"/>
  <c r="U87" i="352"/>
  <c r="W82" i="352"/>
  <c r="X82" i="352" s="1"/>
  <c r="V108" i="352" s="1"/>
  <c r="W108" i="352" s="1"/>
  <c r="I30" i="352" s="1"/>
  <c r="U82" i="352"/>
  <c r="W85" i="352"/>
  <c r="X85" i="352" s="1"/>
  <c r="V111" i="352" s="1"/>
  <c r="W111" i="352" s="1"/>
  <c r="I33" i="352" s="1"/>
  <c r="U85" i="352"/>
  <c r="W83" i="352"/>
  <c r="X83" i="352" s="1"/>
  <c r="V109" i="352" s="1"/>
  <c r="W109" i="352" s="1"/>
  <c r="I31" i="352" s="1"/>
  <c r="U83" i="352"/>
  <c r="W88" i="352"/>
  <c r="X88" i="352" s="1"/>
  <c r="V114" i="352" s="1"/>
  <c r="W114" i="352" s="1"/>
  <c r="I36" i="352" s="1"/>
  <c r="U88" i="352"/>
  <c r="G33" i="352"/>
  <c r="C33" i="352"/>
  <c r="F33" i="352"/>
  <c r="D33" i="352"/>
  <c r="E33" i="352"/>
  <c r="H33" i="352"/>
  <c r="W89" i="352"/>
  <c r="X89" i="352" s="1"/>
  <c r="V115" i="352" s="1"/>
  <c r="W115" i="352" s="1"/>
  <c r="I37" i="352" s="1"/>
  <c r="U89" i="352"/>
  <c r="E27" i="352"/>
  <c r="H27" i="352"/>
  <c r="D27" i="352"/>
  <c r="F27" i="352"/>
  <c r="G27" i="352"/>
  <c r="C27" i="352"/>
  <c r="W86" i="352"/>
  <c r="X86" i="352" s="1"/>
  <c r="V112" i="352" s="1"/>
  <c r="W112" i="352" s="1"/>
  <c r="I34" i="352" s="1"/>
  <c r="U86" i="352"/>
  <c r="G25" i="352"/>
  <c r="C25" i="352"/>
  <c r="F25" i="352"/>
  <c r="D25" i="352"/>
  <c r="E25" i="352"/>
  <c r="F36" i="352"/>
  <c r="E36" i="352"/>
  <c r="D36" i="352"/>
  <c r="C36" i="352"/>
  <c r="G36" i="352"/>
  <c r="H36" i="352"/>
  <c r="W79" i="352"/>
  <c r="X79" i="352" s="1"/>
  <c r="V105" i="352" s="1"/>
  <c r="W105" i="352" s="1"/>
  <c r="I27" i="352" s="1"/>
  <c r="U79" i="352"/>
  <c r="W90" i="352"/>
  <c r="X90" i="352" s="1"/>
  <c r="V116" i="352" s="1"/>
  <c r="W116" i="352" s="1"/>
  <c r="I38" i="352" s="1"/>
  <c r="U90" i="352"/>
  <c r="H30" i="352"/>
  <c r="D30" i="352"/>
  <c r="G30" i="352"/>
  <c r="C30" i="352"/>
  <c r="E30" i="352"/>
  <c r="F30" i="352"/>
  <c r="G29" i="352"/>
  <c r="C29" i="352"/>
  <c r="F29" i="352"/>
  <c r="D29" i="352"/>
  <c r="E29" i="352"/>
  <c r="H29" i="352"/>
  <c r="W84" i="352"/>
  <c r="X84" i="352" s="1"/>
  <c r="V110" i="352" s="1"/>
  <c r="W110" i="352" s="1"/>
  <c r="I32" i="352" s="1"/>
  <c r="U84" i="352"/>
  <c r="H38" i="352"/>
  <c r="D38" i="352"/>
  <c r="G38" i="352"/>
  <c r="C38" i="352"/>
  <c r="E38" i="352"/>
  <c r="F38" i="352"/>
  <c r="E31" i="352"/>
  <c r="H31" i="352"/>
  <c r="D31" i="352"/>
  <c r="F31" i="352"/>
  <c r="C31" i="352"/>
  <c r="G31" i="352"/>
  <c r="E35" i="352"/>
  <c r="H35" i="352"/>
  <c r="D35" i="352"/>
  <c r="F35" i="352"/>
  <c r="C35" i="352"/>
  <c r="G35" i="352"/>
  <c r="G37" i="352"/>
  <c r="C37" i="352"/>
  <c r="F37" i="352"/>
  <c r="D37" i="352"/>
  <c r="E37" i="352"/>
  <c r="H37" i="352"/>
  <c r="F28" i="352"/>
  <c r="E28" i="352"/>
  <c r="D28" i="352"/>
  <c r="G28" i="352"/>
  <c r="C28" i="352"/>
  <c r="H28" i="352"/>
  <c r="F32" i="352"/>
  <c r="E32" i="352"/>
  <c r="D32" i="352"/>
  <c r="C32" i="352"/>
  <c r="G32" i="352"/>
  <c r="H32" i="352"/>
  <c r="H34" i="352"/>
  <c r="D34" i="352"/>
  <c r="G34" i="352"/>
  <c r="C34" i="352"/>
  <c r="E34" i="352"/>
  <c r="F34" i="352"/>
  <c r="AF133" i="348" l="1"/>
  <c r="AE133" i="348"/>
  <c r="AD133" i="348"/>
  <c r="AC133" i="348"/>
  <c r="AB133" i="348"/>
  <c r="AF132" i="348"/>
  <c r="AE132" i="348"/>
  <c r="AD132" i="348"/>
  <c r="AC132" i="348"/>
  <c r="AB132" i="348"/>
  <c r="AF131" i="348"/>
  <c r="AE131" i="348"/>
  <c r="AD131" i="348"/>
  <c r="AC131" i="348"/>
  <c r="AB131" i="348"/>
  <c r="AF130" i="348"/>
  <c r="AE130" i="348"/>
  <c r="AD130" i="348"/>
  <c r="AC130" i="348"/>
  <c r="AB130" i="348"/>
  <c r="AF129" i="348"/>
  <c r="AE129" i="348"/>
  <c r="AD129" i="348"/>
  <c r="AC129" i="348"/>
  <c r="AB129" i="348"/>
  <c r="AF128" i="348"/>
  <c r="AE128" i="348"/>
  <c r="AD128" i="348"/>
  <c r="AC128" i="348"/>
  <c r="AB128" i="348"/>
  <c r="AF127" i="348"/>
  <c r="AE127" i="348"/>
  <c r="AD127" i="348"/>
  <c r="AC127" i="348"/>
  <c r="AB127" i="348"/>
  <c r="AF126" i="348"/>
  <c r="AE126" i="348"/>
  <c r="AD126" i="348"/>
  <c r="AC126" i="348"/>
  <c r="AB126" i="348"/>
  <c r="AF125" i="348"/>
  <c r="AE125" i="348"/>
  <c r="AD125" i="348"/>
  <c r="AC125" i="348"/>
  <c r="AF124" i="348"/>
  <c r="AE124" i="348"/>
  <c r="AD124" i="348"/>
  <c r="AC124" i="348"/>
  <c r="AB124" i="348"/>
  <c r="AF123" i="348"/>
  <c r="AE123" i="348"/>
  <c r="AD123" i="348"/>
  <c r="AC123" i="348"/>
  <c r="AB123" i="348"/>
  <c r="AF122" i="348"/>
  <c r="AE122" i="348"/>
  <c r="AD122" i="348"/>
  <c r="AC122" i="348"/>
  <c r="AB122" i="348"/>
  <c r="AF121" i="348"/>
  <c r="AE121" i="348"/>
  <c r="AD121" i="348"/>
  <c r="AC121" i="348"/>
  <c r="AB121" i="348"/>
  <c r="AF120" i="348"/>
  <c r="AE120" i="348"/>
  <c r="AD120" i="348"/>
  <c r="AC120" i="348"/>
  <c r="AB120" i="348"/>
  <c r="P61" i="348"/>
  <c r="P121" i="348" s="1"/>
  <c r="AF119" i="348"/>
  <c r="AE119" i="348"/>
  <c r="AD119" i="348"/>
  <c r="AC119" i="348"/>
  <c r="AB119" i="348"/>
  <c r="O119" i="348"/>
  <c r="N119" i="348"/>
  <c r="AF118" i="348"/>
  <c r="AE118" i="348"/>
  <c r="AD118" i="348"/>
  <c r="AC118" i="348"/>
  <c r="AB118" i="348"/>
  <c r="AA118" i="348"/>
  <c r="Z118" i="348"/>
  <c r="Y118" i="348"/>
  <c r="X118" i="348"/>
  <c r="W118" i="348"/>
  <c r="V118" i="348"/>
  <c r="U118" i="348"/>
  <c r="T118" i="348"/>
  <c r="S118" i="348"/>
  <c r="R118" i="348"/>
  <c r="Q118" i="348"/>
  <c r="P118" i="348"/>
  <c r="O118" i="348"/>
  <c r="N118" i="348"/>
  <c r="M118" i="348"/>
  <c r="L118" i="348"/>
  <c r="AA133" i="348"/>
  <c r="AA132" i="348"/>
  <c r="AA131" i="348"/>
  <c r="AA130" i="348"/>
  <c r="AA129" i="348"/>
  <c r="AA128" i="348"/>
  <c r="AA127" i="348"/>
  <c r="AA126" i="348"/>
  <c r="AA125" i="348"/>
  <c r="AA124" i="348"/>
  <c r="AA123" i="348"/>
  <c r="V125" i="348"/>
  <c r="V124" i="348"/>
  <c r="V123" i="348"/>
  <c r="V122" i="348"/>
  <c r="P125" i="348"/>
  <c r="P124" i="348"/>
  <c r="P123" i="348"/>
  <c r="P122" i="348"/>
  <c r="V61" i="348"/>
  <c r="V121" i="348" s="1"/>
  <c r="AA61" i="348"/>
  <c r="AA121" i="348" s="1"/>
  <c r="H7" i="350"/>
  <c r="I7" i="350" s="1"/>
  <c r="K7" i="350" l="1"/>
  <c r="F2" i="348"/>
  <c r="K67" i="348" l="1"/>
  <c r="K65" i="348" l="1"/>
  <c r="K72" i="348"/>
  <c r="K64" i="348"/>
  <c r="K71" i="348"/>
  <c r="K63" i="348"/>
  <c r="K73" i="348"/>
  <c r="K69" i="348"/>
  <c r="K68" i="348"/>
  <c r="H8" i="350"/>
  <c r="K8" i="350" s="1"/>
  <c r="K44" i="352" s="1"/>
  <c r="K70" i="348"/>
  <c r="K66" i="348"/>
  <c r="K62" i="348"/>
  <c r="D2" i="348"/>
  <c r="B11" i="1" s="1"/>
  <c r="S61" i="352" l="1"/>
  <c r="S121" i="352" s="1"/>
  <c r="Z61" i="352"/>
  <c r="Z121" i="352" s="1"/>
  <c r="P61" i="352"/>
  <c r="P121" i="352" s="1"/>
  <c r="X61" i="352"/>
  <c r="X121" i="352" s="1"/>
  <c r="Y61" i="352"/>
  <c r="Y121" i="352" s="1"/>
  <c r="W61" i="352"/>
  <c r="W121" i="352" s="1"/>
  <c r="T61" i="352"/>
  <c r="T121" i="352" s="1"/>
  <c r="M61" i="352"/>
  <c r="M121" i="352" s="1"/>
  <c r="Q61" i="352"/>
  <c r="Q121" i="352" s="1"/>
  <c r="O61" i="352"/>
  <c r="O121" i="352" s="1"/>
  <c r="L61" i="352"/>
  <c r="L121" i="352" s="1"/>
  <c r="N61" i="352"/>
  <c r="N121" i="352" s="1"/>
  <c r="R61" i="352"/>
  <c r="R121" i="352" s="1"/>
  <c r="AA61" i="352"/>
  <c r="V61" i="352"/>
  <c r="V121" i="352" s="1"/>
  <c r="U61" i="352"/>
  <c r="U121" i="352" s="1"/>
  <c r="K43" i="348"/>
  <c r="L61" i="348"/>
  <c r="I8" i="350"/>
  <c r="J8" i="350" s="1"/>
  <c r="K61" i="352" s="1"/>
  <c r="J7" i="350"/>
  <c r="K60" i="352" s="1"/>
  <c r="V133" i="348"/>
  <c r="V128" i="348"/>
  <c r="V126" i="348"/>
  <c r="K78" i="352" l="1"/>
  <c r="AA121" i="352"/>
  <c r="K138" i="352" s="1"/>
  <c r="AA60" i="348"/>
  <c r="AA120" i="348" s="1"/>
  <c r="P60" i="348"/>
  <c r="P120" i="348" s="1"/>
  <c r="V60" i="348"/>
  <c r="V120" i="348" s="1"/>
  <c r="K121" i="352"/>
  <c r="O138" i="352" s="1"/>
  <c r="R138" i="352" s="1"/>
  <c r="K120" i="352"/>
  <c r="O137" i="352" s="1"/>
  <c r="R137" i="352" s="1"/>
  <c r="O77" i="352"/>
  <c r="K60" i="348"/>
  <c r="K61" i="348"/>
  <c r="V59" i="348"/>
  <c r="P59" i="348"/>
  <c r="Q59" i="348"/>
  <c r="Q119" i="348" s="1"/>
  <c r="V127" i="348"/>
  <c r="V129" i="348"/>
  <c r="V130" i="348"/>
  <c r="V131" i="348"/>
  <c r="V132" i="348"/>
  <c r="P126" i="348"/>
  <c r="P127" i="348"/>
  <c r="P128" i="348"/>
  <c r="P129" i="348"/>
  <c r="P130" i="348"/>
  <c r="P131" i="348"/>
  <c r="P132" i="348"/>
  <c r="P133" i="348"/>
  <c r="E2" i="348"/>
  <c r="P42" i="348" l="1"/>
  <c r="P119" i="348"/>
  <c r="V42" i="348"/>
  <c r="V119" i="348"/>
  <c r="M138" i="352"/>
  <c r="H138" i="352"/>
  <c r="L78" i="352"/>
  <c r="M78" i="352" s="1"/>
  <c r="H78" i="352"/>
  <c r="P77" i="352"/>
  <c r="R77" i="352"/>
  <c r="S77" i="352" s="1"/>
  <c r="Q77" i="352"/>
  <c r="S137" i="352"/>
  <c r="Q137" i="352"/>
  <c r="M25" i="352" s="1"/>
  <c r="P137" i="352"/>
  <c r="L25" i="352" s="1"/>
  <c r="Q138" i="352"/>
  <c r="P138" i="352"/>
  <c r="S138" i="352"/>
  <c r="V145" i="348"/>
  <c r="J145" i="348"/>
  <c r="J128" i="348"/>
  <c r="K128" i="348"/>
  <c r="I128" i="348"/>
  <c r="H128" i="348"/>
  <c r="N78" i="352" l="1"/>
  <c r="U104" i="352" s="1"/>
  <c r="C26" i="352" s="1"/>
  <c r="O78" i="352"/>
  <c r="N138" i="352"/>
  <c r="U138" i="352" s="1"/>
  <c r="X164" i="352"/>
  <c r="U164" i="352" s="1"/>
  <c r="M26" i="352" s="1"/>
  <c r="W77" i="352"/>
  <c r="X77" i="352" s="1"/>
  <c r="V103" i="352" s="1"/>
  <c r="W103" i="352" s="1"/>
  <c r="I25" i="352" s="1"/>
  <c r="U77" i="352"/>
  <c r="H25" i="352" s="1"/>
  <c r="W138" i="352"/>
  <c r="X138" i="352" s="1"/>
  <c r="V164" i="352" s="1"/>
  <c r="U137" i="352"/>
  <c r="O25" i="352" s="1"/>
  <c r="W137" i="352"/>
  <c r="X137" i="352" s="1"/>
  <c r="V163" i="352" s="1"/>
  <c r="W163" i="352" s="1"/>
  <c r="P25" i="352" s="1"/>
  <c r="G128" i="348"/>
  <c r="L111" i="348"/>
  <c r="M128" i="348"/>
  <c r="U59" i="348"/>
  <c r="U119" i="348" s="1"/>
  <c r="J68" i="348"/>
  <c r="J85" i="348" s="1"/>
  <c r="P111" i="348" s="1"/>
  <c r="P171" i="348" s="1"/>
  <c r="Z128" i="348"/>
  <c r="Y128" i="348"/>
  <c r="X128" i="348"/>
  <c r="W128" i="348"/>
  <c r="U128" i="348"/>
  <c r="T128" i="348"/>
  <c r="S128" i="348"/>
  <c r="R128" i="348"/>
  <c r="Q128" i="348"/>
  <c r="O128" i="348"/>
  <c r="N128" i="348"/>
  <c r="G68" i="348"/>
  <c r="D59" i="348"/>
  <c r="B33" i="348"/>
  <c r="L26" i="352" l="1"/>
  <c r="N26" i="352"/>
  <c r="W164" i="352"/>
  <c r="P26" i="352" s="1"/>
  <c r="M12" i="1" s="1"/>
  <c r="O26" i="352"/>
  <c r="J26" i="352"/>
  <c r="K26" i="352"/>
  <c r="R78" i="352"/>
  <c r="Q78" i="352"/>
  <c r="F26" i="352" s="1"/>
  <c r="P78" i="352"/>
  <c r="E26" i="352" s="1"/>
  <c r="K85" i="348"/>
  <c r="H85" i="348" s="1"/>
  <c r="L128" i="348"/>
  <c r="K145" i="348" s="1"/>
  <c r="H145" i="348" s="1"/>
  <c r="S78" i="352" l="1"/>
  <c r="D26" i="352"/>
  <c r="AA122" i="348"/>
  <c r="L60" i="348"/>
  <c r="M60" i="348"/>
  <c r="M120" i="348" s="1"/>
  <c r="N60" i="348"/>
  <c r="N120" i="348" s="1"/>
  <c r="O60" i="348"/>
  <c r="W78" i="352" l="1"/>
  <c r="X78" i="352" s="1"/>
  <c r="V104" i="352" s="1"/>
  <c r="W104" i="352" s="1"/>
  <c r="I26" i="352" s="1"/>
  <c r="G26" i="352"/>
  <c r="U78" i="352"/>
  <c r="H26" i="352" s="1"/>
  <c r="L120" i="348"/>
  <c r="H120" i="348"/>
  <c r="V144" i="348" l="1"/>
  <c r="V141" i="348"/>
  <c r="AB125" i="348" l="1"/>
  <c r="Z61" i="348"/>
  <c r="Y61" i="348"/>
  <c r="X61" i="348"/>
  <c r="W61" i="348"/>
  <c r="Z60" i="348"/>
  <c r="Y60" i="348"/>
  <c r="X60" i="348"/>
  <c r="W60" i="348"/>
  <c r="O61" i="348"/>
  <c r="N61" i="348"/>
  <c r="M61" i="348"/>
  <c r="Q60" i="348"/>
  <c r="K89" i="348"/>
  <c r="U61" i="348"/>
  <c r="T61" i="348"/>
  <c r="S61" i="348"/>
  <c r="R61" i="348"/>
  <c r="Q61" i="348"/>
  <c r="U60" i="348"/>
  <c r="K77" i="348" s="1"/>
  <c r="T60" i="348"/>
  <c r="S60" i="348"/>
  <c r="R60" i="348"/>
  <c r="K90" i="348" l="1"/>
  <c r="K88" i="348"/>
  <c r="K86" i="348"/>
  <c r="K87" i="348"/>
  <c r="K84" i="348"/>
  <c r="K82" i="348"/>
  <c r="K80" i="348"/>
  <c r="K78" i="348"/>
  <c r="R120" i="348"/>
  <c r="S120" i="348"/>
  <c r="T120" i="348"/>
  <c r="U120" i="348"/>
  <c r="X120" i="348"/>
  <c r="Z120" i="348"/>
  <c r="R121" i="348"/>
  <c r="S121" i="348"/>
  <c r="T121" i="348"/>
  <c r="U121" i="348"/>
  <c r="R122" i="348"/>
  <c r="S122" i="348"/>
  <c r="T122" i="348"/>
  <c r="U122" i="348"/>
  <c r="W122" i="348"/>
  <c r="Y122" i="348"/>
  <c r="R123" i="348"/>
  <c r="S123" i="348"/>
  <c r="T123" i="348"/>
  <c r="U123" i="348"/>
  <c r="Y123" i="348"/>
  <c r="R124" i="348"/>
  <c r="S124" i="348"/>
  <c r="T124" i="348"/>
  <c r="U124" i="348"/>
  <c r="X124" i="348"/>
  <c r="R125" i="348"/>
  <c r="S125" i="348"/>
  <c r="T125" i="348"/>
  <c r="U125" i="348"/>
  <c r="W125" i="348"/>
  <c r="Y125" i="348"/>
  <c r="R126" i="348"/>
  <c r="S126" i="348"/>
  <c r="T126" i="348"/>
  <c r="U126" i="348"/>
  <c r="W126" i="348"/>
  <c r="Y126" i="348"/>
  <c r="R127" i="348"/>
  <c r="S127" i="348"/>
  <c r="T127" i="348"/>
  <c r="U127" i="348"/>
  <c r="W127" i="348"/>
  <c r="Y127" i="348"/>
  <c r="R129" i="348"/>
  <c r="S129" i="348"/>
  <c r="T129" i="348"/>
  <c r="U129" i="348"/>
  <c r="W129" i="348"/>
  <c r="Y129" i="348"/>
  <c r="R130" i="348"/>
  <c r="S130" i="348"/>
  <c r="T130" i="348"/>
  <c r="U130" i="348"/>
  <c r="X130" i="348"/>
  <c r="R131" i="348"/>
  <c r="S131" i="348"/>
  <c r="T131" i="348"/>
  <c r="U131" i="348"/>
  <c r="W131" i="348"/>
  <c r="Y131" i="348"/>
  <c r="R132" i="348"/>
  <c r="S132" i="348"/>
  <c r="T132" i="348"/>
  <c r="U132" i="348"/>
  <c r="W132" i="348"/>
  <c r="Y132" i="348"/>
  <c r="R133" i="348"/>
  <c r="S133" i="348"/>
  <c r="T133" i="348"/>
  <c r="U133" i="348"/>
  <c r="W133" i="348"/>
  <c r="Y133" i="348"/>
  <c r="J137" i="348"/>
  <c r="J138" i="348"/>
  <c r="Z133" i="348"/>
  <c r="X133" i="348"/>
  <c r="Z132" i="348"/>
  <c r="X132" i="348"/>
  <c r="Z131" i="348"/>
  <c r="X131" i="348"/>
  <c r="Z130" i="348"/>
  <c r="Y130" i="348"/>
  <c r="W130" i="348"/>
  <c r="Z129" i="348"/>
  <c r="X129" i="348"/>
  <c r="Z127" i="348"/>
  <c r="X127" i="348"/>
  <c r="Z126" i="348"/>
  <c r="X126" i="348"/>
  <c r="Z125" i="348"/>
  <c r="X125" i="348"/>
  <c r="Z124" i="348"/>
  <c r="Y124" i="348"/>
  <c r="W124" i="348"/>
  <c r="Z123" i="348"/>
  <c r="X123" i="348"/>
  <c r="W123" i="348"/>
  <c r="Z122" i="348"/>
  <c r="X122" i="348"/>
  <c r="Z121" i="348"/>
  <c r="Y121" i="348"/>
  <c r="X121" i="348"/>
  <c r="W121" i="348"/>
  <c r="Y120" i="348"/>
  <c r="W120" i="348"/>
  <c r="K83" i="348"/>
  <c r="K81" i="348"/>
  <c r="K79" i="348"/>
  <c r="AF59" i="348" l="1"/>
  <c r="AF42" i="348" s="1"/>
  <c r="AE59" i="348"/>
  <c r="AE42" i="348" s="1"/>
  <c r="AD59" i="348"/>
  <c r="AD42" i="348" s="1"/>
  <c r="AC59" i="348"/>
  <c r="AC42" i="348" s="1"/>
  <c r="AB59" i="348"/>
  <c r="AB42" i="348" s="1"/>
  <c r="AA59" i="348"/>
  <c r="Z59" i="348"/>
  <c r="Y59" i="348"/>
  <c r="X59" i="348"/>
  <c r="W59" i="348"/>
  <c r="U42" i="348"/>
  <c r="T59" i="348"/>
  <c r="S59" i="348"/>
  <c r="R59" i="348"/>
  <c r="C2" i="348"/>
  <c r="T42" i="348" l="1"/>
  <c r="T119" i="348"/>
  <c r="Y42" i="348"/>
  <c r="Y119" i="348"/>
  <c r="R42" i="348"/>
  <c r="R119" i="348"/>
  <c r="W42" i="348"/>
  <c r="W119" i="348"/>
  <c r="AA42" i="348"/>
  <c r="AA119" i="348"/>
  <c r="Z42" i="348"/>
  <c r="Z119" i="348"/>
  <c r="S42" i="348"/>
  <c r="S119" i="348"/>
  <c r="X42" i="348"/>
  <c r="X119" i="348"/>
  <c r="C3" i="348"/>
  <c r="F3" i="348"/>
  <c r="E3" i="348"/>
  <c r="D3" i="348"/>
  <c r="B12" i="1" l="1"/>
  <c r="E59" i="348"/>
  <c r="E60" i="348"/>
  <c r="E61" i="348"/>
  <c r="L116" i="348"/>
  <c r="L115" i="348"/>
  <c r="L114" i="348"/>
  <c r="L113" i="348"/>
  <c r="L112" i="348"/>
  <c r="L110" i="348"/>
  <c r="L109" i="348"/>
  <c r="L108" i="348"/>
  <c r="L107" i="348"/>
  <c r="L106" i="348"/>
  <c r="L105" i="348"/>
  <c r="L104" i="348"/>
  <c r="L103" i="348"/>
  <c r="E123" i="348"/>
  <c r="L145" i="348" s="1"/>
  <c r="B38" i="348" l="1"/>
  <c r="V150" i="348"/>
  <c r="J150" i="348"/>
  <c r="V137" i="348"/>
  <c r="J149" i="348"/>
  <c r="J148" i="348"/>
  <c r="J147" i="348"/>
  <c r="J146" i="348"/>
  <c r="J144" i="348"/>
  <c r="J143" i="348"/>
  <c r="J142" i="348"/>
  <c r="J141" i="348"/>
  <c r="J140" i="348"/>
  <c r="J139" i="348"/>
  <c r="Q120" i="348"/>
  <c r="K137" i="348" s="1"/>
  <c r="O120" i="348"/>
  <c r="K120" i="348"/>
  <c r="Q133" i="348"/>
  <c r="O133" i="348"/>
  <c r="N133" i="348"/>
  <c r="M133" i="348"/>
  <c r="L133" i="348"/>
  <c r="K133" i="348"/>
  <c r="J133" i="348"/>
  <c r="I133" i="348"/>
  <c r="H133" i="348"/>
  <c r="J132" i="348"/>
  <c r="J131" i="348"/>
  <c r="J130" i="348"/>
  <c r="J129" i="348"/>
  <c r="J127" i="348"/>
  <c r="J126" i="348"/>
  <c r="J125" i="348"/>
  <c r="J124" i="348"/>
  <c r="J123" i="348"/>
  <c r="J122" i="348"/>
  <c r="J121" i="348"/>
  <c r="J120" i="348"/>
  <c r="G73" i="348"/>
  <c r="J73" i="348"/>
  <c r="J90" i="348" s="1"/>
  <c r="P116" i="348" s="1"/>
  <c r="P176" i="348" s="1"/>
  <c r="I120" i="348"/>
  <c r="J60" i="348"/>
  <c r="J77" i="348" s="1"/>
  <c r="P103" i="348" s="1"/>
  <c r="P163" i="348" s="1"/>
  <c r="G60" i="348"/>
  <c r="H77" i="348" s="1"/>
  <c r="B25" i="348"/>
  <c r="K150" i="348" l="1"/>
  <c r="L137" i="348"/>
  <c r="G120" i="348"/>
  <c r="H137" i="348" s="1"/>
  <c r="G133" i="348"/>
  <c r="H90" i="348"/>
  <c r="K9" i="1" l="1"/>
  <c r="I9" i="1"/>
  <c r="L23" i="348"/>
  <c r="M23" i="348"/>
  <c r="L24" i="348"/>
  <c r="M24" i="348"/>
  <c r="E23" i="348"/>
  <c r="F23" i="348"/>
  <c r="E24" i="348"/>
  <c r="F24" i="348"/>
  <c r="Q93" i="348" l="1"/>
  <c r="Q153" i="348"/>
  <c r="R175" i="348" l="1"/>
  <c r="R171" i="348"/>
  <c r="R115" i="348"/>
  <c r="R111" i="348"/>
  <c r="R163" i="348"/>
  <c r="R176" i="348"/>
  <c r="R104" i="348"/>
  <c r="R116" i="348"/>
  <c r="R103" i="348"/>
  <c r="H121" i="348" l="1"/>
  <c r="H122" i="348"/>
  <c r="H123" i="348"/>
  <c r="H124" i="348"/>
  <c r="H125" i="348"/>
  <c r="H126" i="348"/>
  <c r="H127" i="348"/>
  <c r="H129" i="348"/>
  <c r="H130" i="348"/>
  <c r="H131" i="348"/>
  <c r="H132" i="348"/>
  <c r="I122" i="348"/>
  <c r="I123" i="348"/>
  <c r="I124" i="348"/>
  <c r="I125" i="348"/>
  <c r="I126" i="348"/>
  <c r="I127" i="348"/>
  <c r="I129" i="348"/>
  <c r="I130" i="348"/>
  <c r="I131" i="348"/>
  <c r="I132" i="348"/>
  <c r="I121" i="348"/>
  <c r="O59" i="348"/>
  <c r="O42" i="348" s="1"/>
  <c r="N59" i="348"/>
  <c r="N42" i="348" s="1"/>
  <c r="M59" i="348"/>
  <c r="L59" i="348"/>
  <c r="L119" i="348" s="1"/>
  <c r="K136" i="348" s="1"/>
  <c r="M42" i="348" l="1"/>
  <c r="M119" i="348"/>
  <c r="L42" i="348"/>
  <c r="K76" i="348"/>
  <c r="Q42" i="348"/>
  <c r="G121" i="348"/>
  <c r="G130" i="348"/>
  <c r="G131" i="348"/>
  <c r="G129" i="348"/>
  <c r="G126" i="348"/>
  <c r="G124" i="348"/>
  <c r="G122" i="348"/>
  <c r="G132" i="348"/>
  <c r="G127" i="348"/>
  <c r="G125" i="348"/>
  <c r="G123" i="348"/>
  <c r="J62" i="348"/>
  <c r="J79" i="348" s="1"/>
  <c r="P105" i="348" s="1"/>
  <c r="P165" i="348" s="1"/>
  <c r="J63" i="348"/>
  <c r="J80" i="348" s="1"/>
  <c r="P106" i="348" s="1"/>
  <c r="P166" i="348" s="1"/>
  <c r="J64" i="348"/>
  <c r="J81" i="348" s="1"/>
  <c r="P107" i="348" s="1"/>
  <c r="P167" i="348" s="1"/>
  <c r="J65" i="348"/>
  <c r="J82" i="348" s="1"/>
  <c r="P108" i="348" s="1"/>
  <c r="P168" i="348" s="1"/>
  <c r="J66" i="348"/>
  <c r="J83" i="348" s="1"/>
  <c r="P109" i="348" s="1"/>
  <c r="P169" i="348" s="1"/>
  <c r="J67" i="348"/>
  <c r="J84" i="348" s="1"/>
  <c r="P110" i="348" s="1"/>
  <c r="P170" i="348" s="1"/>
  <c r="J69" i="348"/>
  <c r="J86" i="348" s="1"/>
  <c r="P112" i="348" s="1"/>
  <c r="P172" i="348" s="1"/>
  <c r="J70" i="348"/>
  <c r="J87" i="348" s="1"/>
  <c r="P113" i="348" s="1"/>
  <c r="P173" i="348" s="1"/>
  <c r="J71" i="348"/>
  <c r="J88" i="348" s="1"/>
  <c r="P114" i="348" s="1"/>
  <c r="P174" i="348" s="1"/>
  <c r="J72" i="348"/>
  <c r="J89" i="348" s="1"/>
  <c r="P115" i="348" s="1"/>
  <c r="P175" i="348" s="1"/>
  <c r="J61" i="348"/>
  <c r="J78" i="348" s="1"/>
  <c r="P104" i="348" s="1"/>
  <c r="P164" i="348" s="1"/>
  <c r="G72" i="348"/>
  <c r="H89" i="348" s="1"/>
  <c r="G71" i="348"/>
  <c r="G70" i="348"/>
  <c r="G69" i="348"/>
  <c r="G67" i="348"/>
  <c r="G66" i="348"/>
  <c r="G65" i="348"/>
  <c r="G64" i="348"/>
  <c r="G63" i="348"/>
  <c r="G62" i="348"/>
  <c r="G61" i="348"/>
  <c r="B27" i="348" l="1"/>
  <c r="B28" i="348"/>
  <c r="B29" i="348"/>
  <c r="B30" i="348"/>
  <c r="B31" i="348"/>
  <c r="B32" i="348"/>
  <c r="B34" i="348"/>
  <c r="B35" i="348"/>
  <c r="B36" i="348"/>
  <c r="B37" i="348"/>
  <c r="B26" i="348"/>
  <c r="C23" i="348" l="1"/>
  <c r="D23" i="348"/>
  <c r="G23" i="348"/>
  <c r="H23" i="348"/>
  <c r="I23" i="348"/>
  <c r="I24" i="348" s="1"/>
  <c r="J23" i="348"/>
  <c r="K23" i="348"/>
  <c r="N23" i="348"/>
  <c r="O23" i="348"/>
  <c r="P23" i="348"/>
  <c r="P24" i="348" s="1"/>
  <c r="C24" i="348"/>
  <c r="D24" i="348"/>
  <c r="G24" i="348"/>
  <c r="H24" i="348"/>
  <c r="J24" i="348"/>
  <c r="K24" i="348"/>
  <c r="N24" i="348"/>
  <c r="O24" i="348"/>
  <c r="B59" i="348"/>
  <c r="C59" i="348"/>
  <c r="F59" i="348"/>
  <c r="B60" i="348"/>
  <c r="C60" i="348"/>
  <c r="D60" i="348"/>
  <c r="F60" i="348"/>
  <c r="B61" i="348"/>
  <c r="C61" i="348"/>
  <c r="D61" i="348"/>
  <c r="F61" i="348"/>
  <c r="B62" i="348"/>
  <c r="C62" i="348"/>
  <c r="E66" i="348"/>
  <c r="E68" i="348"/>
  <c r="E64" i="348" s="1"/>
  <c r="H78" i="348"/>
  <c r="H79" i="348"/>
  <c r="H80" i="348"/>
  <c r="H81" i="348"/>
  <c r="H82" i="348"/>
  <c r="H83" i="348"/>
  <c r="H84" i="348"/>
  <c r="H86" i="348"/>
  <c r="H87" i="348"/>
  <c r="H88" i="348"/>
  <c r="Q96" i="348"/>
  <c r="S96" i="348"/>
  <c r="Q99" i="348"/>
  <c r="S99" i="348"/>
  <c r="R106" i="348"/>
  <c r="R108" i="348"/>
  <c r="R110" i="348"/>
  <c r="R113" i="348"/>
  <c r="B119" i="348"/>
  <c r="C119" i="348"/>
  <c r="D119" i="348"/>
  <c r="E119" i="348"/>
  <c r="F119" i="348"/>
  <c r="B120" i="348"/>
  <c r="C120" i="348"/>
  <c r="D120" i="348"/>
  <c r="E120" i="348"/>
  <c r="F120" i="348"/>
  <c r="K121" i="348"/>
  <c r="L121" i="348"/>
  <c r="M121" i="348"/>
  <c r="N121" i="348"/>
  <c r="O121" i="348"/>
  <c r="Q121" i="348"/>
  <c r="B121" i="348"/>
  <c r="C121" i="348"/>
  <c r="D121" i="348"/>
  <c r="E121" i="348"/>
  <c r="F121" i="348"/>
  <c r="K122" i="348"/>
  <c r="L122" i="348"/>
  <c r="M122" i="348"/>
  <c r="N122" i="348"/>
  <c r="O122" i="348"/>
  <c r="Q122" i="348"/>
  <c r="B122" i="348"/>
  <c r="C122" i="348"/>
  <c r="K123" i="348"/>
  <c r="L123" i="348"/>
  <c r="M123" i="348"/>
  <c r="N123" i="348"/>
  <c r="O123" i="348"/>
  <c r="Q123" i="348"/>
  <c r="L150" i="348"/>
  <c r="K124" i="348"/>
  <c r="L124" i="348"/>
  <c r="M124" i="348"/>
  <c r="N124" i="348"/>
  <c r="O124" i="348"/>
  <c r="Q124" i="348"/>
  <c r="K125" i="348"/>
  <c r="L125" i="348"/>
  <c r="M125" i="348"/>
  <c r="N125" i="348"/>
  <c r="O125" i="348"/>
  <c r="Q125" i="348"/>
  <c r="E125" i="348"/>
  <c r="K126" i="348"/>
  <c r="L126" i="348"/>
  <c r="M126" i="348"/>
  <c r="N126" i="348"/>
  <c r="O126" i="348"/>
  <c r="Q126" i="348"/>
  <c r="K127" i="348"/>
  <c r="L127" i="348"/>
  <c r="M127" i="348"/>
  <c r="N127" i="348"/>
  <c r="O127" i="348"/>
  <c r="Q127" i="348"/>
  <c r="K129" i="348"/>
  <c r="L129" i="348"/>
  <c r="M129" i="348"/>
  <c r="N129" i="348"/>
  <c r="O129" i="348"/>
  <c r="Q129" i="348"/>
  <c r="K130" i="348"/>
  <c r="L130" i="348"/>
  <c r="K147" i="348" s="1"/>
  <c r="M130" i="348"/>
  <c r="N130" i="348"/>
  <c r="O130" i="348"/>
  <c r="Q130" i="348"/>
  <c r="K131" i="348"/>
  <c r="L131" i="348"/>
  <c r="M131" i="348"/>
  <c r="N131" i="348"/>
  <c r="O131" i="348"/>
  <c r="Q131" i="348"/>
  <c r="K132" i="348"/>
  <c r="L132" i="348"/>
  <c r="K149" i="348" s="1"/>
  <c r="M132" i="348"/>
  <c r="N132" i="348"/>
  <c r="O132" i="348"/>
  <c r="Q132" i="348"/>
  <c r="V138" i="348"/>
  <c r="V139" i="348"/>
  <c r="V140" i="348"/>
  <c r="V142" i="348"/>
  <c r="V143" i="348"/>
  <c r="V146" i="348"/>
  <c r="V147" i="348"/>
  <c r="V148" i="348"/>
  <c r="V149" i="348"/>
  <c r="R165" i="348"/>
  <c r="Q156" i="348"/>
  <c r="S156" i="348"/>
  <c r="Q159" i="348"/>
  <c r="S159" i="348"/>
  <c r="R164" i="348"/>
  <c r="R168" i="348"/>
  <c r="R173" i="348"/>
  <c r="E9" i="1"/>
  <c r="E10" i="1" s="1"/>
  <c r="E12" i="1" s="1"/>
  <c r="G9" i="1"/>
  <c r="G10" i="1" s="1"/>
  <c r="G12" i="1" s="1"/>
  <c r="I10" i="1"/>
  <c r="I12" i="1" s="1"/>
  <c r="K10" i="1"/>
  <c r="K12" i="1" s="1"/>
  <c r="M10" i="1"/>
  <c r="M137" i="348" l="1"/>
  <c r="N137" i="348" s="1"/>
  <c r="K148" i="348"/>
  <c r="H148" i="348" s="1"/>
  <c r="K146" i="348"/>
  <c r="H146" i="348" s="1"/>
  <c r="E70" i="348"/>
  <c r="L85" i="348" s="1"/>
  <c r="M85" i="348" s="1"/>
  <c r="M103" i="348"/>
  <c r="M145" i="348"/>
  <c r="Q171" i="348"/>
  <c r="O145" i="348"/>
  <c r="R145" i="348" s="1"/>
  <c r="H150" i="348"/>
  <c r="M111" i="348"/>
  <c r="Q111" i="348"/>
  <c r="O137" i="348"/>
  <c r="R137" i="348" s="1"/>
  <c r="S137" i="348" s="1"/>
  <c r="Q163" i="348"/>
  <c r="Q164" i="348"/>
  <c r="Q168" i="348"/>
  <c r="Q173" i="348"/>
  <c r="Q175" i="348"/>
  <c r="Q172" i="348"/>
  <c r="Q165" i="348"/>
  <c r="Q169" i="348"/>
  <c r="Q174" i="348"/>
  <c r="Q166" i="348"/>
  <c r="Q170" i="348"/>
  <c r="Q167" i="348"/>
  <c r="Q176" i="348"/>
  <c r="M106" i="348"/>
  <c r="M166" i="348" s="1"/>
  <c r="N166" i="348" s="1"/>
  <c r="T166" i="348" s="1"/>
  <c r="M110" i="348"/>
  <c r="M170" i="348" s="1"/>
  <c r="N170" i="348" s="1"/>
  <c r="T170" i="348" s="1"/>
  <c r="M115" i="348"/>
  <c r="M175" i="348" s="1"/>
  <c r="N175" i="348" s="1"/>
  <c r="T175" i="348" s="1"/>
  <c r="M108" i="348"/>
  <c r="M168" i="348" s="1"/>
  <c r="N168" i="348" s="1"/>
  <c r="T168" i="348" s="1"/>
  <c r="M113" i="348"/>
  <c r="M173" i="348" s="1"/>
  <c r="N173" i="348" s="1"/>
  <c r="T173" i="348" s="1"/>
  <c r="M109" i="348"/>
  <c r="M169" i="348" s="1"/>
  <c r="N169" i="348" s="1"/>
  <c r="T169" i="348" s="1"/>
  <c r="M107" i="348"/>
  <c r="M112" i="348"/>
  <c r="M172" i="348" s="1"/>
  <c r="N172" i="348" s="1"/>
  <c r="T172" i="348" s="1"/>
  <c r="M116" i="348"/>
  <c r="M176" i="348" s="1"/>
  <c r="N176" i="348" s="1"/>
  <c r="T176" i="348" s="1"/>
  <c r="M104" i="348"/>
  <c r="M164" i="348" s="1"/>
  <c r="N164" i="348" s="1"/>
  <c r="T164" i="348" s="1"/>
  <c r="M105" i="348"/>
  <c r="M165" i="348" s="1"/>
  <c r="N165" i="348" s="1"/>
  <c r="T165" i="348" s="1"/>
  <c r="M114" i="348"/>
  <c r="M174" i="348" s="1"/>
  <c r="N174" i="348" s="1"/>
  <c r="T174" i="348" s="1"/>
  <c r="K142" i="348"/>
  <c r="H142" i="348" s="1"/>
  <c r="K138" i="348"/>
  <c r="H138" i="348" s="1"/>
  <c r="K143" i="348"/>
  <c r="H143" i="348" s="1"/>
  <c r="K139" i="348"/>
  <c r="H139" i="348" s="1"/>
  <c r="H149" i="348"/>
  <c r="H147" i="348"/>
  <c r="K144" i="348"/>
  <c r="H144" i="348" s="1"/>
  <c r="K140" i="348"/>
  <c r="H140" i="348" s="1"/>
  <c r="K141" i="348"/>
  <c r="H141" i="348" s="1"/>
  <c r="M150" i="348"/>
  <c r="N150" i="348" s="1"/>
  <c r="O150" i="348"/>
  <c r="R150" i="348" s="1"/>
  <c r="S150" i="348" s="1"/>
  <c r="L149" i="348"/>
  <c r="O149" i="348" s="1"/>
  <c r="Q103" i="348"/>
  <c r="Q116" i="348"/>
  <c r="Q105" i="348"/>
  <c r="Q106" i="348"/>
  <c r="Q104" i="348"/>
  <c r="Q108" i="348"/>
  <c r="Q110" i="348"/>
  <c r="Q113" i="348"/>
  <c r="Q115" i="348"/>
  <c r="Q107" i="348"/>
  <c r="Q109" i="348"/>
  <c r="Q112" i="348"/>
  <c r="Q114" i="348"/>
  <c r="L140" i="348"/>
  <c r="L139" i="348"/>
  <c r="L138" i="348"/>
  <c r="D64" i="348"/>
  <c r="L147" i="348"/>
  <c r="L143" i="348"/>
  <c r="L142" i="348"/>
  <c r="L148" i="348"/>
  <c r="L146" i="348"/>
  <c r="L144" i="348"/>
  <c r="L141" i="348"/>
  <c r="R170" i="348"/>
  <c r="R166" i="348"/>
  <c r="R105" i="348"/>
  <c r="R174" i="348"/>
  <c r="R172" i="348"/>
  <c r="R169" i="348"/>
  <c r="R167" i="348"/>
  <c r="R114" i="348"/>
  <c r="R112" i="348"/>
  <c r="R109" i="348"/>
  <c r="R107" i="348"/>
  <c r="X171" i="348" l="1"/>
  <c r="N145" i="348"/>
  <c r="N85" i="348"/>
  <c r="O85" i="348"/>
  <c r="R85" i="348" s="1"/>
  <c r="M167" i="348"/>
  <c r="N167" i="348" s="1"/>
  <c r="T167" i="348" s="1"/>
  <c r="N107" i="348"/>
  <c r="T107" i="348" s="1"/>
  <c r="N111" i="348"/>
  <c r="T111" i="348" s="1"/>
  <c r="M171" i="348"/>
  <c r="N171" i="348" s="1"/>
  <c r="T171" i="348" s="1"/>
  <c r="U171" i="348" s="1"/>
  <c r="Q145" i="348"/>
  <c r="P145" i="348"/>
  <c r="S145" i="348"/>
  <c r="W145" i="348" s="1"/>
  <c r="X145" i="348" s="1"/>
  <c r="V171" i="348" s="1"/>
  <c r="L77" i="348"/>
  <c r="N116" i="348"/>
  <c r="T116" i="348" s="1"/>
  <c r="N104" i="348"/>
  <c r="T104" i="348" s="1"/>
  <c r="N106" i="348"/>
  <c r="T106" i="348" s="1"/>
  <c r="N114" i="348"/>
  <c r="T114" i="348" s="1"/>
  <c r="N115" i="348"/>
  <c r="T115" i="348" s="1"/>
  <c r="N105" i="348"/>
  <c r="T105" i="348" s="1"/>
  <c r="N108" i="348"/>
  <c r="T108" i="348" s="1"/>
  <c r="M163" i="348"/>
  <c r="N163" i="348" s="1"/>
  <c r="T163" i="348" s="1"/>
  <c r="N103" i="348"/>
  <c r="T103" i="348" s="1"/>
  <c r="X163" i="348"/>
  <c r="X176" i="348"/>
  <c r="U176" i="348" s="1"/>
  <c r="L78" i="348"/>
  <c r="M78" i="348" s="1"/>
  <c r="O144" i="348"/>
  <c r="R144" i="348" s="1"/>
  <c r="S144" i="348" s="1"/>
  <c r="O140" i="348"/>
  <c r="R140" i="348" s="1"/>
  <c r="S140" i="348" s="1"/>
  <c r="O143" i="348"/>
  <c r="R143" i="348" s="1"/>
  <c r="S143" i="348" s="1"/>
  <c r="O141" i="348"/>
  <c r="R141" i="348" s="1"/>
  <c r="S141" i="348" s="1"/>
  <c r="O146" i="348"/>
  <c r="R146" i="348" s="1"/>
  <c r="S146" i="348" s="1"/>
  <c r="O147" i="348"/>
  <c r="R147" i="348" s="1"/>
  <c r="S147" i="348" s="1"/>
  <c r="O139" i="348"/>
  <c r="L80" i="348"/>
  <c r="L79" i="348"/>
  <c r="W150" i="348"/>
  <c r="P150" i="348"/>
  <c r="L89" i="348"/>
  <c r="L90" i="348"/>
  <c r="M142" i="348"/>
  <c r="N142" i="348" s="1"/>
  <c r="M148" i="348"/>
  <c r="N148" i="348" s="1"/>
  <c r="O148" i="348"/>
  <c r="M149" i="348"/>
  <c r="N149" i="348" s="1"/>
  <c r="M147" i="348"/>
  <c r="N147" i="348" s="1"/>
  <c r="M139" i="348"/>
  <c r="N139" i="348" s="1"/>
  <c r="M143" i="348"/>
  <c r="N143" i="348" s="1"/>
  <c r="O142" i="348"/>
  <c r="M144" i="348"/>
  <c r="N144" i="348" s="1"/>
  <c r="M140" i="348"/>
  <c r="N140" i="348" s="1"/>
  <c r="O138" i="348"/>
  <c r="M138" i="348"/>
  <c r="N138" i="348" s="1"/>
  <c r="N110" i="348"/>
  <c r="T110" i="348" s="1"/>
  <c r="N109" i="348"/>
  <c r="T109" i="348" s="1"/>
  <c r="N113" i="348"/>
  <c r="T113" i="348" s="1"/>
  <c r="N112" i="348"/>
  <c r="T112" i="348" s="1"/>
  <c r="M141" i="348"/>
  <c r="N141" i="348" s="1"/>
  <c r="M146" i="348"/>
  <c r="N146" i="348" s="1"/>
  <c r="L81" i="348"/>
  <c r="L84" i="348"/>
  <c r="L88" i="348"/>
  <c r="L83" i="348"/>
  <c r="L82" i="348"/>
  <c r="L86" i="348"/>
  <c r="L87" i="348"/>
  <c r="M77" i="348" l="1"/>
  <c r="N77" i="348" s="1"/>
  <c r="S85" i="348"/>
  <c r="N33" i="348"/>
  <c r="K33" i="348"/>
  <c r="L33" i="348"/>
  <c r="J33" i="348"/>
  <c r="M33" i="348"/>
  <c r="N38" i="348"/>
  <c r="K38" i="348"/>
  <c r="L38" i="348"/>
  <c r="J38" i="348"/>
  <c r="W171" i="348"/>
  <c r="P33" i="348" s="1"/>
  <c r="U145" i="348"/>
  <c r="O33" i="348" s="1"/>
  <c r="U111" i="348"/>
  <c r="U163" i="348"/>
  <c r="J25" i="348" s="1"/>
  <c r="M86" i="348"/>
  <c r="N86" i="348" s="1"/>
  <c r="U112" i="348" s="1"/>
  <c r="M84" i="348"/>
  <c r="N84" i="348" s="1"/>
  <c r="U110" i="348" s="1"/>
  <c r="C32" i="348" s="1"/>
  <c r="M83" i="348"/>
  <c r="N83" i="348" s="1"/>
  <c r="U109" i="348" s="1"/>
  <c r="C31" i="348" s="1"/>
  <c r="M90" i="348"/>
  <c r="O90" i="348" s="1"/>
  <c r="R90" i="348" s="1"/>
  <c r="M79" i="348"/>
  <c r="O79" i="348" s="1"/>
  <c r="M87" i="348"/>
  <c r="O87" i="348" s="1"/>
  <c r="M88" i="348"/>
  <c r="O88" i="348" s="1"/>
  <c r="M80" i="348"/>
  <c r="O80" i="348" s="1"/>
  <c r="M82" i="348"/>
  <c r="O82" i="348" s="1"/>
  <c r="O78" i="348"/>
  <c r="P78" i="348" s="1"/>
  <c r="X170" i="348"/>
  <c r="U170" i="348" s="1"/>
  <c r="X168" i="348"/>
  <c r="U168" i="348" s="1"/>
  <c r="X172" i="348"/>
  <c r="U172" i="348" s="1"/>
  <c r="X169" i="348"/>
  <c r="U169" i="348" s="1"/>
  <c r="X175" i="348"/>
  <c r="U175" i="348" s="1"/>
  <c r="X173" i="348"/>
  <c r="U173" i="348" s="1"/>
  <c r="X174" i="348"/>
  <c r="U174" i="348" s="1"/>
  <c r="X164" i="348"/>
  <c r="U164" i="348" s="1"/>
  <c r="X167" i="348"/>
  <c r="U167" i="348" s="1"/>
  <c r="K29" i="348" s="1"/>
  <c r="X166" i="348"/>
  <c r="U166" i="348" s="1"/>
  <c r="K28" i="348" s="1"/>
  <c r="X165" i="348"/>
  <c r="U165" i="348" s="1"/>
  <c r="U103" i="348"/>
  <c r="R139" i="348"/>
  <c r="S139" i="348" s="1"/>
  <c r="W139" i="348" s="1"/>
  <c r="X139" i="348" s="1"/>
  <c r="V165" i="348" s="1"/>
  <c r="R149" i="348"/>
  <c r="P149" i="348" s="1"/>
  <c r="M81" i="348"/>
  <c r="O81" i="348" s="1"/>
  <c r="M89" i="348"/>
  <c r="N89" i="348" s="1"/>
  <c r="U115" i="348" s="1"/>
  <c r="X150" i="348"/>
  <c r="V176" i="348" s="1"/>
  <c r="W176" i="348" s="1"/>
  <c r="P38" i="348" s="1"/>
  <c r="Q150" i="348"/>
  <c r="M38" i="348" s="1"/>
  <c r="P143" i="348"/>
  <c r="Q143" i="348"/>
  <c r="P140" i="348"/>
  <c r="Q140" i="348"/>
  <c r="P146" i="348"/>
  <c r="Q146" i="348"/>
  <c r="P144" i="348"/>
  <c r="Q144" i="348"/>
  <c r="P147" i="348"/>
  <c r="Q147" i="348"/>
  <c r="P141" i="348"/>
  <c r="Q141" i="348"/>
  <c r="Q137" i="348"/>
  <c r="U150" i="348"/>
  <c r="O38" i="348" s="1"/>
  <c r="W143" i="348"/>
  <c r="X143" i="348" s="1"/>
  <c r="V169" i="348" s="1"/>
  <c r="W140" i="348"/>
  <c r="X140" i="348" s="1"/>
  <c r="V166" i="348" s="1"/>
  <c r="W146" i="348"/>
  <c r="X146" i="348" s="1"/>
  <c r="V172" i="348" s="1"/>
  <c r="W144" i="348"/>
  <c r="X144" i="348" s="1"/>
  <c r="V170" i="348" s="1"/>
  <c r="W147" i="348"/>
  <c r="X147" i="348" s="1"/>
  <c r="V173" i="348" s="1"/>
  <c r="W141" i="348"/>
  <c r="X141" i="348" s="1"/>
  <c r="V167" i="348" s="1"/>
  <c r="R138" i="348"/>
  <c r="S138" i="348" s="1"/>
  <c r="R142" i="348"/>
  <c r="S142" i="348" s="1"/>
  <c r="R148" i="348"/>
  <c r="S148" i="348" s="1"/>
  <c r="O77" i="348" l="1"/>
  <c r="J37" i="348"/>
  <c r="K25" i="348"/>
  <c r="C34" i="348"/>
  <c r="C33" i="348"/>
  <c r="C37" i="348"/>
  <c r="L32" i="348"/>
  <c r="M32" i="348"/>
  <c r="N32" i="348"/>
  <c r="K32" i="348"/>
  <c r="L37" i="348"/>
  <c r="K37" i="348"/>
  <c r="K36" i="348"/>
  <c r="N36" i="348"/>
  <c r="J36" i="348"/>
  <c r="L35" i="348"/>
  <c r="M35" i="348"/>
  <c r="J35" i="348"/>
  <c r="N35" i="348"/>
  <c r="K35" i="348"/>
  <c r="N34" i="348"/>
  <c r="K34" i="348"/>
  <c r="L34" i="348"/>
  <c r="J34" i="348"/>
  <c r="M34" i="348"/>
  <c r="Q85" i="348"/>
  <c r="F33" i="348" s="1"/>
  <c r="P85" i="348"/>
  <c r="E33" i="348" s="1"/>
  <c r="G33" i="348"/>
  <c r="M25" i="348"/>
  <c r="N88" i="348"/>
  <c r="U114" i="348" s="1"/>
  <c r="O86" i="348"/>
  <c r="Q86" i="348" s="1"/>
  <c r="F34" i="348" s="1"/>
  <c r="N79" i="348"/>
  <c r="U105" i="348" s="1"/>
  <c r="W172" i="348"/>
  <c r="P34" i="348" s="1"/>
  <c r="O83" i="348"/>
  <c r="R83" i="348" s="1"/>
  <c r="S83" i="348" s="1"/>
  <c r="N90" i="348"/>
  <c r="U116" i="348" s="1"/>
  <c r="N82" i="348"/>
  <c r="U108" i="348" s="1"/>
  <c r="N87" i="348"/>
  <c r="U113" i="348" s="1"/>
  <c r="N80" i="348"/>
  <c r="U106" i="348" s="1"/>
  <c r="O84" i="348"/>
  <c r="Q84" i="348" s="1"/>
  <c r="F32" i="348" s="1"/>
  <c r="R78" i="348"/>
  <c r="Q78" i="348"/>
  <c r="N78" i="348"/>
  <c r="U104" i="348" s="1"/>
  <c r="W166" i="348"/>
  <c r="P28" i="348" s="1"/>
  <c r="M28" i="348"/>
  <c r="W170" i="348"/>
  <c r="P32" i="348" s="1"/>
  <c r="J27" i="348"/>
  <c r="L31" i="348"/>
  <c r="J32" i="348"/>
  <c r="J26" i="348"/>
  <c r="J28" i="348"/>
  <c r="L28" i="348"/>
  <c r="J31" i="348"/>
  <c r="J30" i="348"/>
  <c r="K31" i="348"/>
  <c r="W167" i="348"/>
  <c r="P29" i="348" s="1"/>
  <c r="W173" i="348"/>
  <c r="P35" i="348" s="1"/>
  <c r="W169" i="348"/>
  <c r="P31" i="348" s="1"/>
  <c r="L29" i="348"/>
  <c r="W165" i="348"/>
  <c r="P27" i="348" s="1"/>
  <c r="J29" i="348"/>
  <c r="M29" i="348"/>
  <c r="M31" i="348"/>
  <c r="K27" i="348"/>
  <c r="P139" i="348"/>
  <c r="L27" i="348" s="1"/>
  <c r="Q149" i="348"/>
  <c r="M37" i="348" s="1"/>
  <c r="N81" i="348"/>
  <c r="U107" i="348" s="1"/>
  <c r="Q139" i="348"/>
  <c r="M27" i="348" s="1"/>
  <c r="S149" i="348"/>
  <c r="W149" i="348" s="1"/>
  <c r="X149" i="348" s="1"/>
  <c r="V175" i="348" s="1"/>
  <c r="W175" i="348" s="1"/>
  <c r="P37" i="348" s="1"/>
  <c r="P80" i="348"/>
  <c r="Q80" i="348"/>
  <c r="P79" i="348"/>
  <c r="Q79" i="348"/>
  <c r="P82" i="348"/>
  <c r="Q82" i="348"/>
  <c r="P87" i="348"/>
  <c r="Q87" i="348"/>
  <c r="P90" i="348"/>
  <c r="Q90" i="348"/>
  <c r="P88" i="348"/>
  <c r="Q88" i="348"/>
  <c r="P81" i="348"/>
  <c r="Q81" i="348"/>
  <c r="O89" i="348"/>
  <c r="R89" i="348" s="1"/>
  <c r="D37" i="348" s="1"/>
  <c r="P137" i="348"/>
  <c r="L25" i="348" s="1"/>
  <c r="P148" i="348"/>
  <c r="L36" i="348" s="1"/>
  <c r="Q148" i="348"/>
  <c r="M36" i="348" s="1"/>
  <c r="P142" i="348"/>
  <c r="L30" i="348" s="1"/>
  <c r="Q142" i="348"/>
  <c r="M30" i="348" s="1"/>
  <c r="P138" i="348"/>
  <c r="L26" i="348" s="1"/>
  <c r="Q138" i="348"/>
  <c r="M26" i="348" s="1"/>
  <c r="W137" i="348"/>
  <c r="X137" i="348" s="1"/>
  <c r="N25" i="348"/>
  <c r="U137" i="348"/>
  <c r="O25" i="348" s="1"/>
  <c r="N31" i="348"/>
  <c r="N29" i="348"/>
  <c r="U141" i="348"/>
  <c r="O29" i="348" s="1"/>
  <c r="N28" i="348"/>
  <c r="N27" i="348"/>
  <c r="U139" i="348"/>
  <c r="O27" i="348" s="1"/>
  <c r="U146" i="348"/>
  <c r="O34" i="348" s="1"/>
  <c r="U147" i="348"/>
  <c r="O35" i="348" s="1"/>
  <c r="U144" i="348"/>
  <c r="O32" i="348" s="1"/>
  <c r="W138" i="348"/>
  <c r="X138" i="348" s="1"/>
  <c r="V164" i="348" s="1"/>
  <c r="W164" i="348" s="1"/>
  <c r="P26" i="348" s="1"/>
  <c r="U143" i="348"/>
  <c r="O31" i="348" s="1"/>
  <c r="U142" i="348"/>
  <c r="O30" i="348" s="1"/>
  <c r="U140" i="348"/>
  <c r="O28" i="348" s="1"/>
  <c r="K26" i="348"/>
  <c r="K30" i="348"/>
  <c r="R80" i="348"/>
  <c r="R79" i="348"/>
  <c r="R81" i="348"/>
  <c r="R88" i="348"/>
  <c r="R82" i="348"/>
  <c r="R87" i="348"/>
  <c r="R77" i="348" l="1"/>
  <c r="S77" i="348" s="1"/>
  <c r="U77" i="348" s="1"/>
  <c r="H25" i="348" s="1"/>
  <c r="K11" i="1" s="1"/>
  <c r="Q77" i="348"/>
  <c r="F25" i="348" s="1"/>
  <c r="P77" i="348"/>
  <c r="E25" i="348" s="1"/>
  <c r="V163" i="348"/>
  <c r="W163" i="348" s="1"/>
  <c r="P25" i="348" s="1"/>
  <c r="D33" i="348"/>
  <c r="N37" i="348"/>
  <c r="F38" i="348"/>
  <c r="D38" i="348"/>
  <c r="C38" i="348"/>
  <c r="E38" i="348"/>
  <c r="C35" i="348"/>
  <c r="F35" i="348"/>
  <c r="D35" i="348"/>
  <c r="E35" i="348"/>
  <c r="E36" i="348"/>
  <c r="F36" i="348"/>
  <c r="D36" i="348"/>
  <c r="C36" i="348"/>
  <c r="W85" i="348"/>
  <c r="X85" i="348" s="1"/>
  <c r="V111" i="348" s="1"/>
  <c r="W111" i="348" s="1"/>
  <c r="I33" i="348" s="1"/>
  <c r="U85" i="348"/>
  <c r="H33" i="348" s="1"/>
  <c r="S88" i="348"/>
  <c r="W88" i="348" s="1"/>
  <c r="S79" i="348"/>
  <c r="W79" i="348" s="1"/>
  <c r="X79" i="348" s="1"/>
  <c r="F27" i="348"/>
  <c r="P86" i="348"/>
  <c r="E34" i="348" s="1"/>
  <c r="R86" i="348"/>
  <c r="E27" i="348"/>
  <c r="P84" i="348"/>
  <c r="E32" i="348" s="1"/>
  <c r="Q83" i="348"/>
  <c r="F31" i="348" s="1"/>
  <c r="F28" i="348"/>
  <c r="P83" i="348"/>
  <c r="E31" i="348" s="1"/>
  <c r="S82" i="348"/>
  <c r="U82" i="348" s="1"/>
  <c r="H30" i="348" s="1"/>
  <c r="E30" i="348"/>
  <c r="F30" i="348"/>
  <c r="S90" i="348"/>
  <c r="U90" i="348" s="1"/>
  <c r="H38" i="348" s="1"/>
  <c r="S80" i="348"/>
  <c r="W80" i="348" s="1"/>
  <c r="R84" i="348"/>
  <c r="S84" i="348" s="1"/>
  <c r="U84" i="348" s="1"/>
  <c r="H32" i="348" s="1"/>
  <c r="E28" i="348"/>
  <c r="S78" i="348"/>
  <c r="U78" i="348" s="1"/>
  <c r="S87" i="348"/>
  <c r="W87" i="348" s="1"/>
  <c r="C25" i="348"/>
  <c r="E11" i="1" s="1"/>
  <c r="E29" i="348"/>
  <c r="S81" i="348"/>
  <c r="G29" i="348" s="1"/>
  <c r="F29" i="348"/>
  <c r="U149" i="348"/>
  <c r="O37" i="348" s="1"/>
  <c r="P89" i="348"/>
  <c r="E37" i="348" s="1"/>
  <c r="Q89" i="348"/>
  <c r="F37" i="348" s="1"/>
  <c r="S89" i="348"/>
  <c r="G37" i="348" s="1"/>
  <c r="N26" i="348"/>
  <c r="U138" i="348"/>
  <c r="O26" i="348" s="1"/>
  <c r="W142" i="348"/>
  <c r="X142" i="348" s="1"/>
  <c r="V168" i="348" s="1"/>
  <c r="W168" i="348" s="1"/>
  <c r="P30" i="348" s="1"/>
  <c r="N30" i="348"/>
  <c r="W148" i="348"/>
  <c r="X148" i="348" s="1"/>
  <c r="V174" i="348" s="1"/>
  <c r="W174" i="348" s="1"/>
  <c r="P36" i="348" s="1"/>
  <c r="U148" i="348"/>
  <c r="O36" i="348" s="1"/>
  <c r="D31" i="348"/>
  <c r="G31" i="348"/>
  <c r="D29" i="348"/>
  <c r="C29" i="348"/>
  <c r="D27" i="348"/>
  <c r="C27" i="348"/>
  <c r="D28" i="348"/>
  <c r="C28" i="348"/>
  <c r="D30" i="348"/>
  <c r="C30" i="348"/>
  <c r="W83" i="348"/>
  <c r="U83" i="348"/>
  <c r="H31" i="348" s="1"/>
  <c r="G25" i="348" l="1"/>
  <c r="I11" i="1" s="1"/>
  <c r="W77" i="348"/>
  <c r="X77" i="348" s="1"/>
  <c r="V103" i="348" s="1"/>
  <c r="D25" i="348"/>
  <c r="G11" i="1" s="1"/>
  <c r="G38" i="348"/>
  <c r="G35" i="348"/>
  <c r="G36" i="348"/>
  <c r="S86" i="348"/>
  <c r="U86" i="348" s="1"/>
  <c r="H34" i="348" s="1"/>
  <c r="D34" i="348"/>
  <c r="G26" i="348"/>
  <c r="U79" i="348"/>
  <c r="H27" i="348" s="1"/>
  <c r="U88" i="348"/>
  <c r="H36" i="348" s="1"/>
  <c r="G27" i="348"/>
  <c r="W84" i="348"/>
  <c r="X84" i="348" s="1"/>
  <c r="V110" i="348" s="1"/>
  <c r="W110" i="348" s="1"/>
  <c r="G30" i="348"/>
  <c r="W82" i="348"/>
  <c r="X82" i="348" s="1"/>
  <c r="V108" i="348" s="1"/>
  <c r="W108" i="348" s="1"/>
  <c r="I30" i="348" s="1"/>
  <c r="U80" i="348"/>
  <c r="H28" i="348" s="1"/>
  <c r="G28" i="348"/>
  <c r="G32" i="348"/>
  <c r="D32" i="348"/>
  <c r="W90" i="348"/>
  <c r="X90" i="348" s="1"/>
  <c r="V116" i="348" s="1"/>
  <c r="W116" i="348" s="1"/>
  <c r="I38" i="348" s="1"/>
  <c r="X80" i="348"/>
  <c r="V106" i="348" s="1"/>
  <c r="W106" i="348" s="1"/>
  <c r="I28" i="348" s="1"/>
  <c r="X83" i="348"/>
  <c r="V109" i="348" s="1"/>
  <c r="W109" i="348" s="1"/>
  <c r="I31" i="348" s="1"/>
  <c r="X88" i="348"/>
  <c r="V114" i="348" s="1"/>
  <c r="W114" i="348" s="1"/>
  <c r="I36" i="348" s="1"/>
  <c r="X87" i="348"/>
  <c r="V113" i="348" s="1"/>
  <c r="W113" i="348" s="1"/>
  <c r="I35" i="348" s="1"/>
  <c r="W78" i="348"/>
  <c r="X78" i="348" s="1"/>
  <c r="V104" i="348" s="1"/>
  <c r="W104" i="348" s="1"/>
  <c r="I26" i="348" s="1"/>
  <c r="U87" i="348"/>
  <c r="H35" i="348" s="1"/>
  <c r="H26" i="348"/>
  <c r="D26" i="348"/>
  <c r="E26" i="348"/>
  <c r="F26" i="348"/>
  <c r="C26" i="348"/>
  <c r="W81" i="348"/>
  <c r="U81" i="348"/>
  <c r="H29" i="348" s="1"/>
  <c r="U89" i="348"/>
  <c r="H37" i="348" s="1"/>
  <c r="W89" i="348"/>
  <c r="V105" i="348"/>
  <c r="W105" i="348" s="1"/>
  <c r="I27" i="348" s="1"/>
  <c r="W86" i="348" l="1"/>
  <c r="X86" i="348" s="1"/>
  <c r="V112" i="348" s="1"/>
  <c r="W112" i="348" s="1"/>
  <c r="I34" i="348" s="1"/>
  <c r="G34" i="348"/>
  <c r="X81" i="348"/>
  <c r="V107" i="348" s="1"/>
  <c r="W107" i="348" s="1"/>
  <c r="I29" i="348" s="1"/>
  <c r="X89" i="348"/>
  <c r="V115" i="348" s="1"/>
  <c r="W115" i="348" s="1"/>
  <c r="I37" i="348" s="1"/>
  <c r="W103" i="348"/>
  <c r="I25" i="348" s="1"/>
  <c r="M11" i="1" s="1"/>
  <c r="I32" i="348"/>
</calcChain>
</file>

<file path=xl/sharedStrings.xml><?xml version="1.0" encoding="utf-8"?>
<sst xmlns="http://schemas.openxmlformats.org/spreadsheetml/2006/main" count="481" uniqueCount="154">
  <si>
    <t>lm/W</t>
  </si>
  <si>
    <t>Series</t>
  </si>
  <si>
    <t>Parallel</t>
  </si>
  <si>
    <t>Judgement</t>
  </si>
  <si>
    <t>U/L</t>
  </si>
  <si>
    <t>L/L</t>
  </si>
  <si>
    <t>IF Limit</t>
  </si>
  <si>
    <t>Tj Limit</t>
  </si>
  <si>
    <t>Tj</t>
  </si>
  <si>
    <t>2,700K</t>
  </si>
  <si>
    <t>CCT,Ra</t>
    <phoneticPr fontId="4"/>
  </si>
  <si>
    <t>Product code</t>
    <phoneticPr fontId="4"/>
  </si>
  <si>
    <t>Tj (C)</t>
    <phoneticPr fontId="4"/>
  </si>
  <si>
    <t>Code</t>
    <phoneticPr fontId="4"/>
  </si>
  <si>
    <t>CITILED is a registered trademark of CITIZEN ELECTRONICS CO., LTD. Japan.</t>
    <phoneticPr fontId="4"/>
  </si>
  <si>
    <t>Series</t>
    <phoneticPr fontId="4"/>
  </si>
  <si>
    <t>CCT</t>
    <phoneticPr fontId="4"/>
  </si>
  <si>
    <t>Ra</t>
    <phoneticPr fontId="4"/>
  </si>
  <si>
    <t>CCT&amp;Ra</t>
    <phoneticPr fontId="4"/>
  </si>
  <si>
    <t>Color code</t>
    <phoneticPr fontId="4"/>
  </si>
  <si>
    <t>Phosphor</t>
    <phoneticPr fontId="4"/>
  </si>
  <si>
    <t>5,000K</t>
    <phoneticPr fontId="4"/>
  </si>
  <si>
    <t>80Min</t>
    <phoneticPr fontId="4"/>
  </si>
  <si>
    <t>3,000K</t>
    <phoneticPr fontId="4"/>
  </si>
  <si>
    <t>Luminous flux</t>
    <phoneticPr fontId="4"/>
  </si>
  <si>
    <t>If (mA)</t>
    <phoneticPr fontId="4"/>
  </si>
  <si>
    <t>Pd (W)</t>
    <phoneticPr fontId="4"/>
  </si>
  <si>
    <t>lm/W</t>
    <phoneticPr fontId="4"/>
  </si>
  <si>
    <t>lm</t>
    <phoneticPr fontId="4"/>
  </si>
  <si>
    <t>Forward current</t>
    <phoneticPr fontId="4"/>
  </si>
  <si>
    <t>φv (lm)</t>
    <phoneticPr fontId="4"/>
  </si>
  <si>
    <t>mA</t>
    <phoneticPr fontId="4"/>
  </si>
  <si>
    <t>Vf</t>
    <phoneticPr fontId="4"/>
  </si>
  <si>
    <t>W</t>
    <phoneticPr fontId="4"/>
  </si>
  <si>
    <t>[Luminous flux]</t>
    <phoneticPr fontId="4"/>
  </si>
  <si>
    <t>[Forward current]</t>
    <phoneticPr fontId="4"/>
  </si>
  <si>
    <t>Limit</t>
    <phoneticPr fontId="4"/>
  </si>
  <si>
    <t>IF Limit</t>
    <phoneticPr fontId="4"/>
  </si>
  <si>
    <t>L/L</t>
    <phoneticPr fontId="4"/>
  </si>
  <si>
    <t>U/L</t>
    <phoneticPr fontId="4"/>
  </si>
  <si>
    <t>Tj Limit</t>
    <phoneticPr fontId="4"/>
  </si>
  <si>
    <t>IF(x)-lm%(y)</t>
    <phoneticPr fontId="4"/>
  </si>
  <si>
    <t>lm%(x)-IF(y)</t>
    <phoneticPr fontId="4"/>
  </si>
  <si>
    <t>IF(x)-VF%(y)</t>
    <phoneticPr fontId="4"/>
  </si>
  <si>
    <t>a</t>
    <phoneticPr fontId="4"/>
  </si>
  <si>
    <t>b</t>
    <phoneticPr fontId="4"/>
  </si>
  <si>
    <t>c</t>
    <phoneticPr fontId="4"/>
  </si>
  <si>
    <t>VF</t>
    <phoneticPr fontId="4"/>
  </si>
  <si>
    <t>lm/die</t>
    <phoneticPr fontId="4"/>
  </si>
  <si>
    <t>lm%</t>
    <phoneticPr fontId="4"/>
  </si>
  <si>
    <t>IF/die</t>
    <phoneticPr fontId="4"/>
  </si>
  <si>
    <t>IF/PKG</t>
    <phoneticPr fontId="4"/>
  </si>
  <si>
    <t>Tj</t>
    <phoneticPr fontId="4"/>
  </si>
  <si>
    <t>Judgement</t>
    <phoneticPr fontId="4"/>
  </si>
  <si>
    <t>Shown</t>
    <phoneticPr fontId="4"/>
  </si>
  <si>
    <t>mA</t>
    <phoneticPr fontId="4"/>
  </si>
  <si>
    <t>d</t>
    <phoneticPr fontId="4"/>
  </si>
  <si>
    <t>d</t>
    <phoneticPr fontId="4"/>
  </si>
  <si>
    <t>IF Limit</t>
    <phoneticPr fontId="4"/>
  </si>
  <si>
    <t>U/L</t>
    <phoneticPr fontId="4"/>
  </si>
  <si>
    <t>Vf_min (V)</t>
  </si>
  <si>
    <t>Vf_max (V)</t>
  </si>
  <si>
    <t>Vfmin</t>
  </si>
  <si>
    <t>Vfmin</t>
    <phoneticPr fontId="4"/>
  </si>
  <si>
    <t>Vfmax</t>
  </si>
  <si>
    <t>Vfmax</t>
    <phoneticPr fontId="4"/>
  </si>
  <si>
    <t>Vftyp</t>
    <phoneticPr fontId="4"/>
  </si>
  <si>
    <t>Vf</t>
  </si>
  <si>
    <t>If</t>
  </si>
  <si>
    <t>This selection tool is the reference material for selecting suitable products.</t>
  </si>
  <si>
    <t>When electing to use a product, please be sure to request a delivery and specifications manual and check the contents.</t>
  </si>
  <si>
    <t>CITIZEN ELECTRONICS CO., LTD. shall not be liable for any disadvantages or damages, which your company may receive, resulting from the use of selection tool.</t>
  </si>
  <si>
    <t>Product names and specifications in this selection tool are subject to change without notice for the purpose of improvement, or manufacturing may be discontinued.</t>
  </si>
  <si>
    <t>503M2</t>
    <phoneticPr fontId="4"/>
  </si>
  <si>
    <t>Vf (V)</t>
    <phoneticPr fontId="4"/>
  </si>
  <si>
    <t>Vf (V)</t>
    <phoneticPr fontId="4"/>
  </si>
  <si>
    <t>5000K,80Min</t>
    <phoneticPr fontId="4"/>
  </si>
  <si>
    <t>50AL7</t>
    <phoneticPr fontId="4"/>
  </si>
  <si>
    <t>40AL7</t>
    <phoneticPr fontId="4"/>
  </si>
  <si>
    <t>4000K,80Min</t>
    <phoneticPr fontId="4"/>
  </si>
  <si>
    <t>3500K,80Min</t>
    <phoneticPr fontId="4"/>
  </si>
  <si>
    <t>3000K,80Min</t>
    <phoneticPr fontId="4"/>
  </si>
  <si>
    <t>2700K,80Min</t>
    <phoneticPr fontId="4"/>
  </si>
  <si>
    <t>403M2</t>
    <phoneticPr fontId="4"/>
  </si>
  <si>
    <t>353M2</t>
    <phoneticPr fontId="4"/>
  </si>
  <si>
    <t>303M2</t>
    <phoneticPr fontId="4"/>
  </si>
  <si>
    <t>273M2</t>
    <phoneticPr fontId="4"/>
  </si>
  <si>
    <t>4000K,90Min On BBL</t>
    <phoneticPr fontId="4"/>
  </si>
  <si>
    <t>3500K,90Min On BBL</t>
    <phoneticPr fontId="4"/>
  </si>
  <si>
    <t>3000K,90Min On BBL</t>
    <phoneticPr fontId="4"/>
  </si>
  <si>
    <t>2700K,90Min On BBL</t>
    <phoneticPr fontId="4"/>
  </si>
  <si>
    <t>4,000K</t>
    <phoneticPr fontId="4"/>
  </si>
  <si>
    <t>3,500K</t>
    <phoneticPr fontId="4"/>
  </si>
  <si>
    <t>80Min</t>
    <phoneticPr fontId="4"/>
  </si>
  <si>
    <t>80Min</t>
    <phoneticPr fontId="4"/>
  </si>
  <si>
    <t>NA</t>
    <phoneticPr fontId="4"/>
  </si>
  <si>
    <t>lumen</t>
    <phoneticPr fontId="4"/>
  </si>
  <si>
    <t>IF(x)-lm%(y)</t>
    <phoneticPr fontId="4"/>
  </si>
  <si>
    <t>4000K,70Min</t>
    <phoneticPr fontId="4"/>
  </si>
  <si>
    <t>C4</t>
  </si>
  <si>
    <t>5000K,70Min</t>
    <phoneticPr fontId="4"/>
  </si>
  <si>
    <t>5,700K</t>
    <phoneticPr fontId="4"/>
  </si>
  <si>
    <t>5700K,80Min</t>
    <phoneticPr fontId="4"/>
  </si>
  <si>
    <t>5700K,90Min On BBL</t>
    <phoneticPr fontId="4"/>
  </si>
  <si>
    <t>M2</t>
    <phoneticPr fontId="4"/>
  </si>
  <si>
    <t>M3</t>
    <phoneticPr fontId="4"/>
  </si>
  <si>
    <t>M4</t>
    <phoneticPr fontId="4"/>
  </si>
  <si>
    <t>S</t>
    <phoneticPr fontId="16"/>
  </si>
  <si>
    <t>P</t>
    <phoneticPr fontId="16"/>
  </si>
  <si>
    <t>Tj</t>
    <phoneticPr fontId="16"/>
  </si>
  <si>
    <t>IF(mA)</t>
    <phoneticPr fontId="16"/>
  </si>
  <si>
    <t>VF(V)</t>
    <phoneticPr fontId="16"/>
  </si>
  <si>
    <t>VF@Tc=25C</t>
    <phoneticPr fontId="16"/>
  </si>
  <si>
    <t>Tc=25C定格Lm係数</t>
    <rPh sb="6" eb="8">
      <t>テイカク</t>
    </rPh>
    <rPh sb="10" eb="12">
      <t>ケイスウ</t>
    </rPh>
    <phoneticPr fontId="13"/>
  </si>
  <si>
    <t>係数</t>
    <rPh sb="0" eb="2">
      <t>ケイスウ</t>
    </rPh>
    <phoneticPr fontId="4"/>
  </si>
  <si>
    <t>ディレーティングカーブ</t>
    <phoneticPr fontId="4"/>
  </si>
  <si>
    <t>傾き</t>
    <rPh sb="0" eb="1">
      <t>カタム</t>
    </rPh>
    <phoneticPr fontId="4"/>
  </si>
  <si>
    <t>切片</t>
    <rPh sb="0" eb="2">
      <t>セッペン</t>
    </rPh>
    <phoneticPr fontId="4"/>
  </si>
  <si>
    <r>
      <t>y=ax</t>
    </r>
    <r>
      <rPr>
        <b/>
        <vertAlign val="superscript"/>
        <sz val="10"/>
        <rFont val="メイリオ"/>
        <family val="3"/>
        <charset val="128"/>
      </rPr>
      <t>3</t>
    </r>
    <r>
      <rPr>
        <b/>
        <sz val="10"/>
        <rFont val="メイリオ"/>
        <family val="3"/>
        <charset val="128"/>
      </rPr>
      <t>+bx</t>
    </r>
    <r>
      <rPr>
        <b/>
        <vertAlign val="superscript"/>
        <sz val="10"/>
        <rFont val="メイリオ"/>
        <family val="3"/>
        <charset val="128"/>
      </rPr>
      <t>2</t>
    </r>
    <r>
      <rPr>
        <b/>
        <sz val="10"/>
        <rFont val="メイリオ"/>
        <family val="3"/>
        <charset val="128"/>
      </rPr>
      <t>+cx+d/y=ax</t>
    </r>
    <r>
      <rPr>
        <b/>
        <vertAlign val="superscript"/>
        <sz val="10"/>
        <rFont val="メイリオ"/>
        <family val="3"/>
        <charset val="128"/>
      </rPr>
      <t>2</t>
    </r>
    <r>
      <rPr>
        <b/>
        <sz val="10"/>
        <rFont val="メイリオ"/>
        <family val="3"/>
        <charset val="128"/>
      </rPr>
      <t>+bx+c</t>
    </r>
    <phoneticPr fontId="4"/>
  </si>
  <si>
    <t>PSL440-0404C4</t>
    <phoneticPr fontId="4"/>
  </si>
  <si>
    <t>PSL445-0405C4</t>
    <phoneticPr fontId="4"/>
  </si>
  <si>
    <t>5000K,90Min On BBL</t>
    <phoneticPr fontId="4"/>
  </si>
  <si>
    <t>503H5</t>
    <phoneticPr fontId="4"/>
  </si>
  <si>
    <t>403H5</t>
    <phoneticPr fontId="4"/>
  </si>
  <si>
    <t>353H5</t>
    <phoneticPr fontId="4"/>
  </si>
  <si>
    <t>303H5</t>
    <phoneticPr fontId="4"/>
  </si>
  <si>
    <t>273H5</t>
    <phoneticPr fontId="4"/>
  </si>
  <si>
    <t>57AM2</t>
    <phoneticPr fontId="4"/>
  </si>
  <si>
    <t>57AH5</t>
    <phoneticPr fontId="4"/>
  </si>
  <si>
    <t>PSL440-0404C4</t>
  </si>
  <si>
    <t>PSL445-0405C4</t>
  </si>
  <si>
    <t>rated current,Tj=85C</t>
    <phoneticPr fontId="4"/>
  </si>
  <si>
    <t>Ts (C)</t>
    <phoneticPr fontId="4"/>
  </si>
  <si>
    <t>rated current,Ts25C</t>
    <phoneticPr fontId="4"/>
  </si>
  <si>
    <t>Ts Limit</t>
    <phoneticPr fontId="4"/>
  </si>
  <si>
    <t>Ts(x)-lm%(y)</t>
    <phoneticPr fontId="4"/>
  </si>
  <si>
    <t>Ts(x)-VF%(y)</t>
    <phoneticPr fontId="4"/>
  </si>
  <si>
    <t>Ts(x)-VF%(y)</t>
    <phoneticPr fontId="4"/>
  </si>
  <si>
    <t>Ts</t>
    <phoneticPr fontId="4"/>
  </si>
  <si>
    <t>lm Ts-compensation</t>
    <phoneticPr fontId="4"/>
  </si>
  <si>
    <t>VF Ts-compensation</t>
    <phoneticPr fontId="4"/>
  </si>
  <si>
    <t>Rj-s</t>
    <phoneticPr fontId="4"/>
  </si>
  <si>
    <t>⊿T j-s</t>
    <phoneticPr fontId="4"/>
  </si>
  <si>
    <t>Ts(x)-lm%(y)</t>
    <phoneticPr fontId="4"/>
  </si>
  <si>
    <t>lm Ts-compensation</t>
    <phoneticPr fontId="4"/>
  </si>
  <si>
    <t>Ts-VF係数</t>
    <rPh sb="5" eb="7">
      <t>ケイスウ</t>
    </rPh>
    <phoneticPr fontId="4"/>
  </si>
  <si>
    <t>Ts-LM係数</t>
    <rPh sb="5" eb="7">
      <t>ケイスウ</t>
    </rPh>
    <phoneticPr fontId="4"/>
  </si>
  <si>
    <t>Rjs(℃/W)</t>
    <phoneticPr fontId="16"/>
  </si>
  <si>
    <t>Ts</t>
    <phoneticPr fontId="16"/>
  </si>
  <si>
    <t>φv@Ts=25C</t>
    <phoneticPr fontId="16"/>
  </si>
  <si>
    <t>PSL440</t>
    <phoneticPr fontId="4"/>
  </si>
  <si>
    <t>PSL445</t>
    <phoneticPr fontId="4"/>
  </si>
  <si>
    <t>PKG</t>
    <phoneticPr fontId="4"/>
  </si>
  <si>
    <t>Ver1.0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</si>
</sst>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76" formatCode="#&quot;℃&quot;"/>
    <numFmt numFmtId="177" formatCode="0.0%"/>
    <numFmt numFmtId="178" formatCode="0.0"/>
    <numFmt numFmtId="179" formatCode="0.0000"/>
    <numFmt numFmtId="180" formatCode="0.000"/>
    <numFmt numFmtId="181" formatCode="0.000%"/>
    <numFmt numFmtId="182" formatCode="0.0_ "/>
    <numFmt numFmtId="183" formatCode="0.0_);[Red]\(0.0\)"/>
    <numFmt numFmtId="184" formatCode="0_ "/>
    <numFmt numFmtId="185" formatCode="0_);[Red]\(0\)"/>
    <numFmt numFmtId="186" formatCode="0.0000E+00"/>
    <numFmt numFmtId="187" formatCode="0.0000.E+00"/>
    <numFmt numFmtId="188" formatCode="0.0000%"/>
    <numFmt numFmtId="189" formatCode="0.000000000000%"/>
    <numFmt numFmtId="190" formatCode="0.000000000000000000%"/>
    <numFmt numFmtId="191" formatCode="0_ ;[Red]\-0\ "/>
    <numFmt numFmtId="192" formatCode="0.000000"/>
  </numFmts>
  <fonts count="23" x14ac:knownFonts="1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Arial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"/>
      <family val="2"/>
    </font>
    <font>
      <b/>
      <sz val="10"/>
      <color theme="0"/>
      <name val="メイリオ"/>
      <family val="3"/>
      <charset val="128"/>
    </font>
    <font>
      <sz val="6"/>
      <name val="Arial"/>
      <family val="2"/>
      <charset val="128"/>
    </font>
    <font>
      <sz val="9"/>
      <name val="メイリオ"/>
      <family val="3"/>
      <charset val="128"/>
    </font>
    <font>
      <sz val="9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b/>
      <vertAlign val="superscript"/>
      <sz val="10"/>
      <name val="メイリオ"/>
      <family val="3"/>
      <charset val="128"/>
    </font>
    <font>
      <b/>
      <i/>
      <sz val="10"/>
      <name val="メイリオ"/>
      <family val="3"/>
      <charset val="128"/>
    </font>
    <font>
      <strike/>
      <sz val="10"/>
      <name val="メイリオ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12"/>
      </left>
      <right style="medium">
        <color indexed="12"/>
      </right>
      <top style="dashed">
        <color indexed="12"/>
      </top>
      <bottom style="dashed">
        <color indexed="12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2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2" fillId="0" borderId="0">
      <alignment vertical="center"/>
    </xf>
    <xf numFmtId="0" fontId="3" fillId="0" borderId="0"/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</cellStyleXfs>
  <cellXfs count="178">
    <xf numFmtId="0" fontId="0" fillId="0" borderId="0" xfId="0"/>
    <xf numFmtId="0" fontId="6" fillId="2" borderId="0" xfId="0" applyFont="1" applyFill="1"/>
    <xf numFmtId="0" fontId="6" fillId="0" borderId="0" xfId="0" applyFo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38" fontId="5" fillId="3" borderId="3" xfId="2" applyFont="1" applyFill="1" applyBorder="1" applyAlignment="1" applyProtection="1">
      <alignment vertical="center"/>
      <protection locked="0"/>
    </xf>
    <xf numFmtId="176" fontId="5" fillId="2" borderId="0" xfId="0" applyNumberFormat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/>
    <xf numFmtId="0" fontId="9" fillId="2" borderId="0" xfId="0" applyFont="1" applyFill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hidden="1"/>
    </xf>
    <xf numFmtId="0" fontId="5" fillId="4" borderId="4" xfId="0" applyFont="1" applyFill="1" applyBorder="1" applyAlignment="1" applyProtection="1">
      <alignment horizontal="center" vertical="center"/>
      <protection hidden="1"/>
    </xf>
    <xf numFmtId="0" fontId="5" fillId="4" borderId="5" xfId="0" applyFont="1" applyFill="1" applyBorder="1" applyAlignment="1" applyProtection="1">
      <alignment horizontal="center" vertical="center"/>
      <protection hidden="1"/>
    </xf>
    <xf numFmtId="0" fontId="5" fillId="4" borderId="6" xfId="0" applyFont="1" applyFill="1" applyBorder="1" applyAlignment="1" applyProtection="1">
      <alignment horizontal="center" vertical="center"/>
      <protection hidden="1"/>
    </xf>
    <xf numFmtId="0" fontId="5" fillId="4" borderId="7" xfId="0" applyFont="1" applyFill="1" applyBorder="1" applyAlignment="1" applyProtection="1">
      <alignment horizontal="center" vertical="center"/>
      <protection hidden="1"/>
    </xf>
    <xf numFmtId="0" fontId="5" fillId="4" borderId="8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/>
    <xf numFmtId="0" fontId="8" fillId="2" borderId="0" xfId="0" applyFont="1" applyFill="1" applyAlignment="1">
      <alignment horizontal="right"/>
    </xf>
    <xf numFmtId="0" fontId="5" fillId="3" borderId="9" xfId="0" applyFont="1" applyFill="1" applyBorder="1" applyAlignment="1" applyProtection="1">
      <alignment horizontal="left" vertical="center"/>
      <protection hidden="1"/>
    </xf>
    <xf numFmtId="0" fontId="6" fillId="7" borderId="0" xfId="0" applyFont="1" applyFill="1" applyBorder="1" applyProtection="1">
      <protection hidden="1"/>
    </xf>
    <xf numFmtId="177" fontId="6" fillId="7" borderId="0" xfId="1" applyNumberFormat="1" applyFont="1" applyFill="1" applyBorder="1"/>
    <xf numFmtId="0" fontId="6" fillId="7" borderId="0" xfId="0" applyFont="1" applyFill="1"/>
    <xf numFmtId="0" fontId="9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vertical="center"/>
    </xf>
    <xf numFmtId="182" fontId="6" fillId="7" borderId="0" xfId="0" applyNumberFormat="1" applyFont="1" applyFill="1" applyAlignment="1">
      <alignment vertical="center"/>
    </xf>
    <xf numFmtId="0" fontId="9" fillId="7" borderId="0" xfId="0" applyFont="1" applyFill="1" applyAlignment="1">
      <alignment vertical="center"/>
    </xf>
    <xf numFmtId="177" fontId="6" fillId="7" borderId="0" xfId="1" applyNumberFormat="1" applyFont="1" applyFill="1"/>
    <xf numFmtId="9" fontId="6" fillId="7" borderId="0" xfId="0" applyNumberFormat="1" applyFont="1" applyFill="1"/>
    <xf numFmtId="0" fontId="6" fillId="7" borderId="0" xfId="0" applyFont="1" applyFill="1" applyAlignment="1">
      <alignment horizontal="left"/>
    </xf>
    <xf numFmtId="0" fontId="6" fillId="7" borderId="0" xfId="0" applyFont="1" applyFill="1" applyAlignment="1">
      <alignment horizontal="center" vertical="center"/>
    </xf>
    <xf numFmtId="178" fontId="6" fillId="7" borderId="0" xfId="0" applyNumberFormat="1" applyFont="1" applyFill="1" applyAlignment="1">
      <alignment horizontal="center" vertical="center"/>
    </xf>
    <xf numFmtId="183" fontId="6" fillId="7" borderId="0" xfId="0" applyNumberFormat="1" applyFont="1" applyFill="1" applyAlignment="1">
      <alignment vertical="center"/>
    </xf>
    <xf numFmtId="0" fontId="6" fillId="7" borderId="0" xfId="0" applyNumberFormat="1" applyFont="1" applyFill="1" applyAlignment="1">
      <alignment vertical="center"/>
    </xf>
    <xf numFmtId="0" fontId="6" fillId="2" borderId="30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>
      <alignment horizontal="right"/>
    </xf>
    <xf numFmtId="0" fontId="14" fillId="13" borderId="31" xfId="5" applyFont="1" applyFill="1" applyBorder="1" applyAlignment="1" applyProtection="1">
      <alignment horizontal="center" vertical="center" shrinkToFit="1"/>
    </xf>
    <xf numFmtId="0" fontId="15" fillId="0" borderId="0" xfId="8" applyFont="1">
      <alignment vertical="center"/>
    </xf>
    <xf numFmtId="192" fontId="14" fillId="13" borderId="31" xfId="5" applyNumberFormat="1" applyFont="1" applyFill="1" applyBorder="1" applyAlignment="1" applyProtection="1">
      <alignment vertical="center"/>
    </xf>
    <xf numFmtId="0" fontId="15" fillId="0" borderId="0" xfId="8" applyFont="1" applyAlignment="1">
      <alignment horizontal="center" vertical="center"/>
    </xf>
    <xf numFmtId="178" fontId="15" fillId="0" borderId="0" xfId="8" applyNumberFormat="1" applyFont="1">
      <alignment vertical="center"/>
    </xf>
    <xf numFmtId="177" fontId="15" fillId="0" borderId="0" xfId="9" applyNumberFormat="1" applyFont="1">
      <alignment vertical="center"/>
    </xf>
    <xf numFmtId="180" fontId="15" fillId="0" borderId="0" xfId="8" applyNumberFormat="1" applyFont="1">
      <alignment vertical="center"/>
    </xf>
    <xf numFmtId="0" fontId="18" fillId="7" borderId="0" xfId="0" applyFont="1" applyFill="1" applyBorder="1" applyAlignment="1" applyProtection="1">
      <alignment vertical="center" shrinkToFit="1"/>
      <protection hidden="1"/>
    </xf>
    <xf numFmtId="0" fontId="12" fillId="14" borderId="0" xfId="3" applyFont="1" applyFill="1" applyAlignment="1">
      <alignment vertical="center"/>
    </xf>
    <xf numFmtId="177" fontId="12" fillId="14" borderId="0" xfId="1" applyNumberFormat="1" applyFont="1" applyFill="1" applyAlignment="1">
      <alignment vertical="center"/>
    </xf>
    <xf numFmtId="0" fontId="12" fillId="14" borderId="0" xfId="3" applyFont="1" applyFill="1"/>
    <xf numFmtId="186" fontId="19" fillId="15" borderId="0" xfId="0" applyNumberFormat="1" applyFont="1" applyFill="1" applyBorder="1" applyAlignment="1">
      <alignment vertical="center"/>
    </xf>
    <xf numFmtId="186" fontId="19" fillId="7" borderId="0" xfId="0" applyNumberFormat="1" applyFont="1" applyFill="1" applyBorder="1" applyAlignment="1">
      <alignment vertical="center"/>
    </xf>
    <xf numFmtId="0" fontId="19" fillId="7" borderId="0" xfId="0" applyFont="1" applyFill="1" applyBorder="1" applyAlignment="1" applyProtection="1">
      <alignment horizontal="center" vertical="center" wrapText="1"/>
      <protection hidden="1"/>
    </xf>
    <xf numFmtId="0" fontId="19" fillId="15" borderId="0" xfId="0" applyFont="1" applyFill="1" applyBorder="1" applyAlignment="1" applyProtection="1">
      <alignment vertical="center" wrapText="1"/>
      <protection hidden="1"/>
    </xf>
    <xf numFmtId="0" fontId="19" fillId="7" borderId="0" xfId="0" applyFont="1" applyFill="1" applyBorder="1" applyAlignment="1" applyProtection="1">
      <alignment vertical="center"/>
      <protection hidden="1"/>
    </xf>
    <xf numFmtId="0" fontId="19" fillId="7" borderId="0" xfId="0" applyFont="1" applyFill="1" applyBorder="1" applyAlignment="1" applyProtection="1">
      <alignment horizontal="left" vertical="center"/>
      <protection hidden="1"/>
    </xf>
    <xf numFmtId="0" fontId="19" fillId="7" borderId="0" xfId="0" applyFont="1" applyFill="1" applyBorder="1" applyAlignment="1" applyProtection="1">
      <alignment horizontal="left" vertical="center" wrapText="1"/>
      <protection hidden="1"/>
    </xf>
    <xf numFmtId="0" fontId="19" fillId="7" borderId="0" xfId="0" applyFont="1" applyFill="1" applyBorder="1" applyAlignment="1">
      <alignment vertical="center"/>
    </xf>
    <xf numFmtId="0" fontId="19" fillId="7" borderId="0" xfId="0" applyFont="1" applyFill="1" applyBorder="1" applyAlignment="1" applyProtection="1">
      <alignment vertical="center" shrinkToFit="1"/>
      <protection hidden="1"/>
    </xf>
    <xf numFmtId="0" fontId="19" fillId="15" borderId="0" xfId="0" applyFont="1" applyFill="1" applyBorder="1" applyAlignment="1" applyProtection="1">
      <alignment vertical="center"/>
      <protection hidden="1"/>
    </xf>
    <xf numFmtId="0" fontId="19" fillId="15" borderId="0" xfId="0" applyFont="1" applyFill="1" applyBorder="1" applyAlignment="1">
      <alignment vertical="center"/>
    </xf>
    <xf numFmtId="177" fontId="19" fillId="7" borderId="0" xfId="1" applyNumberFormat="1" applyFont="1" applyFill="1" applyBorder="1" applyAlignment="1">
      <alignment vertical="center"/>
    </xf>
    <xf numFmtId="0" fontId="18" fillId="7" borderId="0" xfId="0" applyFont="1" applyFill="1" applyBorder="1" applyAlignment="1" applyProtection="1">
      <alignment vertical="center"/>
      <protection hidden="1"/>
    </xf>
    <xf numFmtId="0" fontId="19" fillId="7" borderId="0" xfId="0" applyFont="1" applyFill="1" applyBorder="1" applyAlignment="1" applyProtection="1">
      <alignment vertical="center" wrapText="1"/>
      <protection hidden="1"/>
    </xf>
    <xf numFmtId="0" fontId="19" fillId="9" borderId="29" xfId="0" applyFont="1" applyFill="1" applyBorder="1" applyAlignment="1" applyProtection="1">
      <alignment vertical="center"/>
      <protection hidden="1"/>
    </xf>
    <xf numFmtId="0" fontId="19" fillId="8" borderId="29" xfId="0" applyFont="1" applyFill="1" applyBorder="1" applyAlignment="1" applyProtection="1">
      <alignment vertical="center"/>
      <protection hidden="1"/>
    </xf>
    <xf numFmtId="1" fontId="19" fillId="7" borderId="29" xfId="0" applyNumberFormat="1" applyFont="1" applyFill="1" applyBorder="1" applyAlignment="1" applyProtection="1">
      <alignment vertical="center"/>
      <protection hidden="1"/>
    </xf>
    <xf numFmtId="178" fontId="19" fillId="7" borderId="29" xfId="0" applyNumberFormat="1" applyFont="1" applyFill="1" applyBorder="1" applyAlignment="1" applyProtection="1">
      <alignment vertical="center"/>
      <protection hidden="1"/>
    </xf>
    <xf numFmtId="0" fontId="19" fillId="11" borderId="29" xfId="0" applyFont="1" applyFill="1" applyBorder="1" applyAlignment="1" applyProtection="1">
      <alignment horizontal="center" vertical="center"/>
      <protection hidden="1"/>
    </xf>
    <xf numFmtId="0" fontId="19" fillId="10" borderId="29" xfId="0" applyFont="1" applyFill="1" applyBorder="1" applyAlignment="1" applyProtection="1">
      <alignment horizontal="center" vertical="center"/>
      <protection hidden="1"/>
    </xf>
    <xf numFmtId="0" fontId="19" fillId="12" borderId="29" xfId="0" applyFont="1" applyFill="1" applyBorder="1" applyAlignment="1" applyProtection="1">
      <alignment horizontal="center" vertical="center"/>
      <protection hidden="1"/>
    </xf>
    <xf numFmtId="0" fontId="19" fillId="12" borderId="29" xfId="0" applyFont="1" applyFill="1" applyBorder="1" applyAlignment="1">
      <alignment horizontal="center" vertical="center"/>
    </xf>
    <xf numFmtId="177" fontId="19" fillId="7" borderId="0" xfId="1" applyNumberFormat="1" applyFont="1" applyFill="1" applyBorder="1" applyAlignment="1" applyProtection="1">
      <alignment vertical="center"/>
      <protection hidden="1"/>
    </xf>
    <xf numFmtId="1" fontId="19" fillId="0" borderId="29" xfId="0" applyNumberFormat="1" applyFont="1" applyFill="1" applyBorder="1" applyAlignment="1" applyProtection="1">
      <alignment horizontal="center" vertical="center"/>
      <protection hidden="1"/>
    </xf>
    <xf numFmtId="1" fontId="19" fillId="7" borderId="29" xfId="0" applyNumberFormat="1" applyFont="1" applyFill="1" applyBorder="1" applyAlignment="1" applyProtection="1">
      <alignment horizontal="center" vertical="center"/>
      <protection hidden="1"/>
    </xf>
    <xf numFmtId="191" fontId="19" fillId="7" borderId="29" xfId="2" applyNumberFormat="1" applyFont="1" applyFill="1" applyBorder="1" applyAlignment="1" applyProtection="1">
      <alignment horizontal="center" vertical="center"/>
      <protection hidden="1"/>
    </xf>
    <xf numFmtId="185" fontId="19" fillId="0" borderId="29" xfId="0" applyNumberFormat="1" applyFont="1" applyFill="1" applyBorder="1" applyAlignment="1" applyProtection="1">
      <alignment horizontal="center" vertical="center"/>
      <protection hidden="1"/>
    </xf>
    <xf numFmtId="177" fontId="18" fillId="7" borderId="0" xfId="1" applyNumberFormat="1" applyFont="1" applyFill="1" applyBorder="1" applyAlignment="1">
      <alignment vertical="center"/>
    </xf>
    <xf numFmtId="0" fontId="18" fillId="7" borderId="0" xfId="0" applyFont="1" applyFill="1" applyBorder="1" applyAlignment="1">
      <alignment vertical="center"/>
    </xf>
    <xf numFmtId="184" fontId="19" fillId="0" borderId="29" xfId="0" applyNumberFormat="1" applyFont="1" applyFill="1" applyBorder="1" applyAlignment="1" applyProtection="1">
      <alignment horizontal="center" vertical="center"/>
      <protection hidden="1"/>
    </xf>
    <xf numFmtId="0" fontId="19" fillId="7" borderId="0" xfId="0" applyFont="1" applyFill="1" applyBorder="1" applyAlignment="1">
      <alignment horizontal="center" vertical="center"/>
    </xf>
    <xf numFmtId="188" fontId="19" fillId="7" borderId="0" xfId="1" applyNumberFormat="1" applyFont="1" applyFill="1" applyBorder="1" applyAlignment="1" applyProtection="1">
      <alignment vertical="center"/>
      <protection hidden="1"/>
    </xf>
    <xf numFmtId="9" fontId="19" fillId="7" borderId="0" xfId="1" applyFont="1" applyFill="1" applyBorder="1" applyAlignment="1" applyProtection="1">
      <alignment vertical="center"/>
      <protection hidden="1"/>
    </xf>
    <xf numFmtId="188" fontId="19" fillId="7" borderId="0" xfId="0" applyNumberFormat="1" applyFont="1" applyFill="1" applyBorder="1" applyAlignment="1" applyProtection="1">
      <alignment vertical="center"/>
      <protection hidden="1"/>
    </xf>
    <xf numFmtId="190" fontId="19" fillId="7" borderId="0" xfId="0" applyNumberFormat="1" applyFont="1" applyFill="1" applyBorder="1" applyAlignment="1" applyProtection="1">
      <alignment vertical="center"/>
      <protection hidden="1"/>
    </xf>
    <xf numFmtId="0" fontId="19" fillId="7" borderId="0" xfId="0" applyFont="1" applyFill="1" applyBorder="1" applyAlignment="1" applyProtection="1">
      <alignment horizontal="center" vertical="center"/>
      <protection hidden="1"/>
    </xf>
    <xf numFmtId="9" fontId="19" fillId="7" borderId="0" xfId="1" applyFont="1" applyFill="1" applyBorder="1" applyAlignment="1" applyProtection="1">
      <alignment horizontal="center" vertical="center"/>
      <protection hidden="1"/>
    </xf>
    <xf numFmtId="9" fontId="19" fillId="7" borderId="0" xfId="0" applyNumberFormat="1" applyFont="1" applyFill="1" applyBorder="1" applyAlignment="1" applyProtection="1">
      <alignment horizontal="center" vertical="center"/>
      <protection hidden="1"/>
    </xf>
    <xf numFmtId="9" fontId="19" fillId="7" borderId="0" xfId="0" applyNumberFormat="1" applyFont="1" applyFill="1" applyBorder="1" applyAlignment="1">
      <alignment horizontal="center" vertical="center"/>
    </xf>
    <xf numFmtId="2" fontId="19" fillId="15" borderId="0" xfId="0" applyNumberFormat="1" applyFont="1" applyFill="1" applyBorder="1" applyAlignment="1" applyProtection="1">
      <alignment vertical="center"/>
      <protection hidden="1"/>
    </xf>
    <xf numFmtId="179" fontId="19" fillId="7" borderId="0" xfId="0" applyNumberFormat="1" applyFont="1" applyFill="1" applyBorder="1" applyAlignment="1" applyProtection="1">
      <alignment vertical="center"/>
      <protection hidden="1"/>
    </xf>
    <xf numFmtId="9" fontId="19" fillId="7" borderId="0" xfId="0" applyNumberFormat="1" applyFont="1" applyFill="1" applyBorder="1" applyAlignment="1" applyProtection="1">
      <alignment vertical="center"/>
      <protection hidden="1"/>
    </xf>
    <xf numFmtId="182" fontId="18" fillId="7" borderId="0" xfId="0" applyNumberFormat="1" applyFont="1" applyFill="1" applyBorder="1" applyAlignment="1">
      <alignment vertical="center"/>
    </xf>
    <xf numFmtId="9" fontId="18" fillId="7" borderId="0" xfId="1" applyNumberFormat="1" applyFont="1" applyFill="1" applyBorder="1" applyAlignment="1" applyProtection="1">
      <alignment vertical="center"/>
      <protection hidden="1"/>
    </xf>
    <xf numFmtId="189" fontId="19" fillId="7" borderId="0" xfId="0" applyNumberFormat="1" applyFont="1" applyFill="1" applyBorder="1" applyAlignment="1">
      <alignment vertical="center"/>
    </xf>
    <xf numFmtId="38" fontId="21" fillId="7" borderId="0" xfId="0" applyNumberFormat="1" applyFont="1" applyFill="1" applyBorder="1" applyAlignment="1" applyProtection="1">
      <alignment vertical="center"/>
      <protection hidden="1"/>
    </xf>
    <xf numFmtId="178" fontId="19" fillId="7" borderId="0" xfId="0" applyNumberFormat="1" applyFont="1" applyFill="1" applyBorder="1" applyAlignment="1" applyProtection="1">
      <alignment vertical="center"/>
      <protection hidden="1"/>
    </xf>
    <xf numFmtId="1" fontId="21" fillId="7" borderId="0" xfId="0" applyNumberFormat="1" applyFont="1" applyFill="1" applyBorder="1" applyAlignment="1" applyProtection="1">
      <alignment vertical="center"/>
      <protection hidden="1"/>
    </xf>
    <xf numFmtId="0" fontId="19" fillId="7" borderId="0" xfId="0" applyFont="1" applyFill="1" applyBorder="1" applyAlignment="1" applyProtection="1">
      <alignment horizontal="right" vertical="center"/>
      <protection hidden="1"/>
    </xf>
    <xf numFmtId="181" fontId="19" fillId="7" borderId="0" xfId="1" applyNumberFormat="1" applyFont="1" applyFill="1" applyBorder="1" applyAlignment="1" applyProtection="1">
      <alignment vertical="center"/>
      <protection hidden="1"/>
    </xf>
    <xf numFmtId="0" fontId="18" fillId="7" borderId="0" xfId="0" applyFont="1" applyFill="1" applyBorder="1" applyAlignment="1" applyProtection="1">
      <alignment horizontal="center" vertical="center"/>
      <protection hidden="1"/>
    </xf>
    <xf numFmtId="0" fontId="19" fillId="6" borderId="0" xfId="0" applyFont="1" applyFill="1" applyBorder="1" applyAlignment="1" applyProtection="1">
      <alignment horizontal="center" vertical="center"/>
      <protection hidden="1"/>
    </xf>
    <xf numFmtId="0" fontId="18" fillId="7" borderId="0" xfId="0" applyFont="1" applyFill="1" applyBorder="1" applyAlignment="1" applyProtection="1">
      <alignment horizontal="center" vertical="center" shrinkToFit="1"/>
      <protection hidden="1"/>
    </xf>
    <xf numFmtId="1" fontId="19" fillId="7" borderId="0" xfId="0" applyNumberFormat="1" applyFont="1" applyFill="1" applyBorder="1" applyAlignment="1" applyProtection="1">
      <alignment vertical="center"/>
      <protection hidden="1"/>
    </xf>
    <xf numFmtId="1" fontId="18" fillId="7" borderId="0" xfId="0" applyNumberFormat="1" applyFont="1" applyFill="1" applyBorder="1" applyAlignment="1" applyProtection="1">
      <alignment vertical="center"/>
      <protection hidden="1"/>
    </xf>
    <xf numFmtId="182" fontId="19" fillId="7" borderId="0" xfId="1" applyNumberFormat="1" applyFont="1" applyFill="1" applyBorder="1" applyAlignment="1" applyProtection="1">
      <alignment vertical="center"/>
      <protection hidden="1"/>
    </xf>
    <xf numFmtId="182" fontId="19" fillId="6" borderId="0" xfId="1" applyNumberFormat="1" applyFont="1" applyFill="1" applyBorder="1" applyAlignment="1" applyProtection="1">
      <alignment vertical="center"/>
      <protection hidden="1"/>
    </xf>
    <xf numFmtId="182" fontId="18" fillId="7" borderId="0" xfId="1" applyNumberFormat="1" applyFont="1" applyFill="1" applyBorder="1" applyAlignment="1" applyProtection="1">
      <alignment vertical="center"/>
      <protection hidden="1"/>
    </xf>
    <xf numFmtId="178" fontId="18" fillId="7" borderId="0" xfId="0" applyNumberFormat="1" applyFont="1" applyFill="1" applyBorder="1" applyAlignment="1" applyProtection="1">
      <alignment vertical="center"/>
      <protection hidden="1"/>
    </xf>
    <xf numFmtId="187" fontId="19" fillId="7" borderId="0" xfId="0" applyNumberFormat="1" applyFont="1" applyFill="1" applyBorder="1" applyAlignment="1">
      <alignment vertical="center"/>
    </xf>
    <xf numFmtId="179" fontId="22" fillId="7" borderId="0" xfId="0" applyNumberFormat="1" applyFont="1" applyFill="1" applyBorder="1" applyAlignment="1" applyProtection="1">
      <alignment vertical="center"/>
      <protection hidden="1"/>
    </xf>
    <xf numFmtId="9" fontId="22" fillId="7" borderId="0" xfId="0" applyNumberFormat="1" applyFont="1" applyFill="1" applyBorder="1" applyAlignment="1" applyProtection="1">
      <alignment vertical="center"/>
      <protection hidden="1"/>
    </xf>
    <xf numFmtId="178" fontId="22" fillId="7" borderId="0" xfId="0" applyNumberFormat="1" applyFont="1" applyFill="1" applyBorder="1" applyAlignment="1" applyProtection="1">
      <alignment vertical="center"/>
      <protection hidden="1"/>
    </xf>
    <xf numFmtId="177" fontId="18" fillId="7" borderId="0" xfId="1" applyNumberFormat="1" applyFont="1" applyFill="1" applyBorder="1" applyAlignment="1" applyProtection="1">
      <alignment vertical="center"/>
      <protection hidden="1"/>
    </xf>
    <xf numFmtId="1" fontId="19" fillId="0" borderId="0" xfId="0" applyNumberFormat="1" applyFont="1" applyFill="1" applyBorder="1" applyAlignment="1" applyProtection="1">
      <alignment vertical="center"/>
      <protection hidden="1"/>
    </xf>
    <xf numFmtId="178" fontId="18" fillId="0" borderId="0" xfId="0" applyNumberFormat="1" applyFont="1" applyFill="1" applyBorder="1" applyAlignment="1" applyProtection="1">
      <alignment vertical="center"/>
      <protection hidden="1"/>
    </xf>
    <xf numFmtId="177" fontId="19" fillId="7" borderId="0" xfId="0" applyNumberFormat="1" applyFont="1" applyFill="1" applyBorder="1" applyAlignment="1" applyProtection="1">
      <alignment vertical="center"/>
      <protection hidden="1"/>
    </xf>
    <xf numFmtId="0" fontId="21" fillId="7" borderId="0" xfId="0" applyFont="1" applyFill="1" applyBorder="1" applyAlignment="1" applyProtection="1">
      <alignment vertical="center"/>
      <protection hidden="1"/>
    </xf>
    <xf numFmtId="180" fontId="21" fillId="7" borderId="0" xfId="0" applyNumberFormat="1" applyFont="1" applyFill="1" applyBorder="1" applyAlignment="1" applyProtection="1">
      <alignment vertical="center"/>
      <protection hidden="1"/>
    </xf>
    <xf numFmtId="184" fontId="18" fillId="7" borderId="0" xfId="0" applyNumberFormat="1" applyFont="1" applyFill="1" applyBorder="1" applyAlignment="1">
      <alignment vertical="center"/>
    </xf>
    <xf numFmtId="180" fontId="18" fillId="7" borderId="0" xfId="0" applyNumberFormat="1" applyFont="1" applyFill="1" applyBorder="1" applyAlignment="1" applyProtection="1">
      <alignment vertical="center"/>
      <protection hidden="1"/>
    </xf>
    <xf numFmtId="40" fontId="19" fillId="6" borderId="0" xfId="2" applyNumberFormat="1" applyFont="1" applyFill="1" applyBorder="1" applyProtection="1">
      <protection hidden="1"/>
    </xf>
    <xf numFmtId="2" fontId="19" fillId="7" borderId="0" xfId="0" applyNumberFormat="1" applyFont="1" applyFill="1" applyBorder="1" applyAlignment="1" applyProtection="1">
      <alignment vertical="center"/>
      <protection hidden="1"/>
    </xf>
    <xf numFmtId="0" fontId="19" fillId="7" borderId="29" xfId="0" applyFont="1" applyFill="1" applyBorder="1" applyAlignment="1" applyProtection="1">
      <alignment horizontal="center" vertical="center"/>
      <protection hidden="1"/>
    </xf>
    <xf numFmtId="2" fontId="19" fillId="7" borderId="29" xfId="0" applyNumberFormat="1" applyFont="1" applyFill="1" applyBorder="1" applyAlignment="1" applyProtection="1">
      <alignment vertical="center"/>
      <protection hidden="1"/>
    </xf>
    <xf numFmtId="2" fontId="19" fillId="0" borderId="29" xfId="0" applyNumberFormat="1" applyFont="1" applyFill="1" applyBorder="1" applyAlignment="1" applyProtection="1">
      <alignment vertical="center"/>
      <protection hidden="1"/>
    </xf>
    <xf numFmtId="10" fontId="19" fillId="7" borderId="0" xfId="0" applyNumberFormat="1" applyFont="1" applyFill="1" applyBorder="1" applyAlignment="1" applyProtection="1">
      <alignment vertical="center"/>
      <protection hidden="1"/>
    </xf>
    <xf numFmtId="0" fontId="19" fillId="0" borderId="0" xfId="0" applyFont="1" applyFill="1" applyBorder="1" applyAlignment="1" applyProtection="1">
      <alignment vertical="center"/>
      <protection hidden="1"/>
    </xf>
    <xf numFmtId="178" fontId="19" fillId="15" borderId="0" xfId="0" applyNumberFormat="1" applyFont="1" applyFill="1" applyBorder="1" applyAlignment="1" applyProtection="1">
      <alignment vertical="center"/>
      <protection hidden="1"/>
    </xf>
    <xf numFmtId="1" fontId="15" fillId="0" borderId="0" xfId="8" applyNumberFormat="1" applyFont="1">
      <alignment vertical="center"/>
    </xf>
    <xf numFmtId="0" fontId="12" fillId="14" borderId="0" xfId="3" quotePrefix="1" applyFont="1" applyFill="1" applyAlignment="1">
      <alignment vertical="center"/>
    </xf>
    <xf numFmtId="0" fontId="19" fillId="17" borderId="29" xfId="0" applyFont="1" applyFill="1" applyBorder="1" applyAlignment="1" applyProtection="1">
      <alignment horizontal="center" vertical="center"/>
      <protection hidden="1"/>
    </xf>
    <xf numFmtId="1" fontId="19" fillId="17" borderId="29" xfId="0" applyNumberFormat="1" applyFont="1" applyFill="1" applyBorder="1" applyAlignment="1" applyProtection="1">
      <alignment horizontal="center" vertical="center"/>
      <protection hidden="1"/>
    </xf>
    <xf numFmtId="185" fontId="19" fillId="0" borderId="29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17" borderId="29" xfId="0" applyFont="1" applyFill="1" applyBorder="1" applyAlignment="1">
      <alignment horizontal="center" vertical="center"/>
    </xf>
    <xf numFmtId="0" fontId="19" fillId="17" borderId="29" xfId="0" applyFont="1" applyFill="1" applyBorder="1" applyAlignment="1">
      <alignment vertical="center"/>
    </xf>
    <xf numFmtId="184" fontId="19" fillId="17" borderId="29" xfId="0" applyNumberFormat="1" applyFont="1" applyFill="1" applyBorder="1" applyAlignment="1">
      <alignment horizontal="center" vertical="center"/>
    </xf>
    <xf numFmtId="185" fontId="19" fillId="17" borderId="29" xfId="0" applyNumberFormat="1" applyFont="1" applyFill="1" applyBorder="1" applyAlignment="1">
      <alignment horizontal="center" vertical="center"/>
    </xf>
    <xf numFmtId="185" fontId="19" fillId="17" borderId="29" xfId="0" applyNumberFormat="1" applyFont="1" applyFill="1" applyBorder="1" applyAlignment="1" applyProtection="1">
      <alignment horizontal="center" vertical="center"/>
      <protection hidden="1"/>
    </xf>
    <xf numFmtId="184" fontId="19" fillId="17" borderId="29" xfId="0" applyNumberFormat="1" applyFont="1" applyFill="1" applyBorder="1" applyAlignment="1" applyProtection="1">
      <alignment horizontal="center" vertical="center"/>
      <protection hidden="1"/>
    </xf>
    <xf numFmtId="191" fontId="19" fillId="0" borderId="29" xfId="2" applyNumberFormat="1" applyFont="1" applyFill="1" applyBorder="1" applyAlignment="1" applyProtection="1">
      <alignment horizontal="center" vertical="center"/>
      <protection hidden="1"/>
    </xf>
    <xf numFmtId="184" fontId="5" fillId="3" borderId="3" xfId="0" applyNumberFormat="1" applyFont="1" applyFill="1" applyBorder="1" applyAlignment="1" applyProtection="1">
      <alignment vertical="center"/>
      <protection locked="0"/>
    </xf>
    <xf numFmtId="184" fontId="6" fillId="0" borderId="9" xfId="0" applyNumberFormat="1" applyFont="1" applyBorder="1" applyAlignment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/>
    <xf numFmtId="0" fontId="10" fillId="5" borderId="13" xfId="0" applyFont="1" applyFill="1" applyBorder="1" applyAlignment="1" applyProtection="1">
      <alignment horizontal="center" vertical="center"/>
      <protection hidden="1"/>
    </xf>
    <xf numFmtId="0" fontId="10" fillId="5" borderId="14" xfId="0" applyFont="1" applyFill="1" applyBorder="1" applyAlignment="1" applyProtection="1">
      <alignment horizontal="center" vertical="center"/>
      <protection hidden="1"/>
    </xf>
    <xf numFmtId="185" fontId="8" fillId="16" borderId="15" xfId="0" applyNumberFormat="1" applyFont="1" applyFill="1" applyBorder="1" applyAlignment="1" applyProtection="1">
      <alignment horizontal="right" vertical="center"/>
      <protection hidden="1"/>
    </xf>
    <xf numFmtId="185" fontId="8" fillId="16" borderId="16" xfId="0" applyNumberFormat="1" applyFont="1" applyFill="1" applyBorder="1" applyAlignment="1" applyProtection="1">
      <alignment horizontal="right" vertical="center"/>
      <protection hidden="1"/>
    </xf>
    <xf numFmtId="185" fontId="8" fillId="6" borderId="26" xfId="0" applyNumberFormat="1" applyFont="1" applyFill="1" applyBorder="1" applyAlignment="1" applyProtection="1">
      <alignment horizontal="right" vertical="center"/>
      <protection hidden="1"/>
    </xf>
    <xf numFmtId="185" fontId="8" fillId="6" borderId="27" xfId="0" applyNumberFormat="1" applyFont="1" applyFill="1" applyBorder="1" applyAlignment="1" applyProtection="1">
      <alignment horizontal="right" vertical="center"/>
      <protection hidden="1"/>
    </xf>
    <xf numFmtId="0" fontId="6" fillId="0" borderId="13" xfId="0" applyFont="1" applyBorder="1" applyAlignment="1">
      <alignment vertical="center"/>
    </xf>
    <xf numFmtId="185" fontId="9" fillId="16" borderId="17" xfId="0" applyNumberFormat="1" applyFont="1" applyFill="1" applyBorder="1" applyAlignment="1">
      <alignment vertical="center"/>
    </xf>
    <xf numFmtId="185" fontId="9" fillId="6" borderId="25" xfId="0" applyNumberFormat="1" applyFont="1" applyFill="1" applyBorder="1" applyAlignment="1">
      <alignment vertical="center"/>
    </xf>
    <xf numFmtId="183" fontId="8" fillId="16" borderId="15" xfId="0" applyNumberFormat="1" applyFont="1" applyFill="1" applyBorder="1" applyAlignment="1" applyProtection="1">
      <alignment horizontal="right" vertical="center"/>
      <protection hidden="1"/>
    </xf>
    <xf numFmtId="183" fontId="8" fillId="16" borderId="17" xfId="0" applyNumberFormat="1" applyFont="1" applyFill="1" applyBorder="1" applyAlignment="1" applyProtection="1">
      <alignment horizontal="right" vertical="center"/>
      <protection hidden="1"/>
    </xf>
    <xf numFmtId="183" fontId="8" fillId="6" borderId="26" xfId="0" applyNumberFormat="1" applyFont="1" applyFill="1" applyBorder="1" applyAlignment="1" applyProtection="1">
      <alignment horizontal="right" vertical="center"/>
      <protection hidden="1"/>
    </xf>
    <xf numFmtId="183" fontId="8" fillId="6" borderId="25" xfId="0" applyNumberFormat="1" applyFont="1" applyFill="1" applyBorder="1" applyAlignment="1" applyProtection="1">
      <alignment horizontal="right" vertical="center"/>
      <protection hidden="1"/>
    </xf>
    <xf numFmtId="0" fontId="10" fillId="5" borderId="23" xfId="0" applyFont="1" applyFill="1" applyBorder="1" applyAlignment="1" applyProtection="1">
      <alignment horizontal="center" vertical="center"/>
      <protection hidden="1"/>
    </xf>
    <xf numFmtId="0" fontId="6" fillId="0" borderId="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16" borderId="19" xfId="0" applyFont="1" applyFill="1" applyBorder="1" applyAlignment="1" applyProtection="1">
      <alignment horizontal="center" vertical="center"/>
      <protection hidden="1"/>
    </xf>
    <xf numFmtId="0" fontId="6" fillId="16" borderId="22" xfId="0" applyFont="1" applyFill="1" applyBorder="1" applyAlignment="1">
      <alignment horizontal="center" vertical="center"/>
    </xf>
    <xf numFmtId="0" fontId="6" fillId="16" borderId="16" xfId="0" applyFont="1" applyFill="1" applyBorder="1" applyAlignment="1">
      <alignment horizontal="center" vertical="center"/>
    </xf>
    <xf numFmtId="0" fontId="5" fillId="6" borderId="18" xfId="0" applyFont="1" applyFill="1" applyBorder="1" applyAlignment="1" applyProtection="1">
      <alignment horizontal="center" vertical="center"/>
      <protection hidden="1"/>
    </xf>
    <xf numFmtId="0" fontId="6" fillId="6" borderId="2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10" fillId="5" borderId="20" xfId="0" applyFont="1" applyFill="1" applyBorder="1" applyAlignment="1" applyProtection="1">
      <alignment horizontal="center" vertical="center"/>
      <protection hidden="1"/>
    </xf>
    <xf numFmtId="185" fontId="8" fillId="16" borderId="19" xfId="2" applyNumberFormat="1" applyFont="1" applyFill="1" applyBorder="1" applyAlignment="1" applyProtection="1">
      <alignment horizontal="right" vertical="center"/>
      <protection hidden="1"/>
    </xf>
    <xf numFmtId="185" fontId="8" fillId="16" borderId="17" xfId="2" applyNumberFormat="1" applyFont="1" applyFill="1" applyBorder="1" applyAlignment="1" applyProtection="1">
      <alignment horizontal="right" vertical="center"/>
      <protection hidden="1"/>
    </xf>
    <xf numFmtId="185" fontId="8" fillId="6" borderId="28" xfId="2" applyNumberFormat="1" applyFont="1" applyFill="1" applyBorder="1" applyAlignment="1" applyProtection="1">
      <alignment horizontal="right" vertical="center"/>
      <protection hidden="1"/>
    </xf>
    <xf numFmtId="185" fontId="8" fillId="6" borderId="25" xfId="2" applyNumberFormat="1" applyFont="1" applyFill="1" applyBorder="1" applyAlignment="1" applyProtection="1">
      <alignment horizontal="right" vertical="center"/>
      <protection hidden="1"/>
    </xf>
    <xf numFmtId="0" fontId="18" fillId="7" borderId="0" xfId="0" applyFont="1" applyFill="1" applyBorder="1" applyAlignment="1">
      <alignment horizontal="center" vertical="center"/>
    </xf>
  </cellXfs>
  <cellStyles count="11">
    <cellStyle name="パーセント" xfId="1" builtinId="5"/>
    <cellStyle name="パーセント 2" xfId="6"/>
    <cellStyle name="パーセント 3" xfId="9"/>
    <cellStyle name="桁区切り" xfId="2" builtinId="6"/>
    <cellStyle name="桁区切り 2" xfId="7"/>
    <cellStyle name="桁区切り 3" xfId="10"/>
    <cellStyle name="標準" xfId="0" builtinId="0"/>
    <cellStyle name="標準 2" xfId="5"/>
    <cellStyle name="標準 3" xfId="3"/>
    <cellStyle name="標準 4" xfId="4"/>
    <cellStyle name="標準 5" xfId="8"/>
  </cellStyles>
  <dxfs count="8">
    <dxf>
      <font>
        <condense val="0"/>
        <extend val="0"/>
        <color indexed="14"/>
      </font>
      <fill>
        <patternFill>
          <bgColor indexed="22"/>
        </patternFill>
      </fill>
    </dxf>
    <dxf>
      <font>
        <condense val="0"/>
        <extend val="0"/>
        <color indexed="14"/>
      </font>
      <fill>
        <patternFill>
          <bgColor indexed="22"/>
        </patternFill>
      </fill>
    </dxf>
    <dxf>
      <font>
        <condense val="0"/>
        <extend val="0"/>
        <color indexed="14"/>
      </font>
      <fill>
        <patternFill>
          <bgColor indexed="22"/>
        </patternFill>
      </fill>
    </dxf>
    <dxf>
      <font>
        <condense val="0"/>
        <extend val="0"/>
        <color indexed="14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b/>
        <i val="0"/>
        <strike/>
        <condense val="0"/>
        <extend val="0"/>
      </font>
      <fill>
        <patternFill>
          <bgColor indexed="10"/>
        </patternFill>
      </fill>
    </dxf>
    <dxf>
      <font>
        <b/>
        <i val="0"/>
        <strike/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</dxfs>
  <tableStyles count="0" defaultTableStyle="TableStyleMedium2" defaultPivotStyle="PivotStyleLight16"/>
  <colors>
    <mruColors>
      <color rgb="FFFFFF99"/>
      <color rgb="FFCCFFFF"/>
      <color rgb="FF99FF99"/>
      <color rgb="FF99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19" dropStyle="combo" dx="16" fmlaLink="$C$6" fmlaRange="Calculation_440!$L$2:$L$15" val="0"/>
</file>

<file path=xl/ctrlProps/ctrlProp2.xml><?xml version="1.0" encoding="utf-8"?>
<formControlPr xmlns="http://schemas.microsoft.com/office/spreadsheetml/2009/9/main" objectType="Drop" dropLines="2" dropStyle="combo" dx="16" fmlaLink="$E$6" fmlaRange="Calculation_440!$B$17:$B$18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200025</xdr:rowOff>
        </xdr:from>
        <xdr:to>
          <xdr:col>3</xdr:col>
          <xdr:colOff>333375</xdr:colOff>
          <xdr:row>6</xdr:row>
          <xdr:rowOff>9525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4</xdr:row>
          <xdr:rowOff>200025</xdr:rowOff>
        </xdr:from>
        <xdr:to>
          <xdr:col>5</xdr:col>
          <xdr:colOff>495300</xdr:colOff>
          <xdr:row>6</xdr:row>
          <xdr:rowOff>9525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 editAs="oneCell">
    <xdr:from>
      <xdr:col>0</xdr:col>
      <xdr:colOff>47625</xdr:colOff>
      <xdr:row>0</xdr:row>
      <xdr:rowOff>66675</xdr:rowOff>
    </xdr:from>
    <xdr:to>
      <xdr:col>3</xdr:col>
      <xdr:colOff>247650</xdr:colOff>
      <xdr:row>2</xdr:row>
      <xdr:rowOff>142875</xdr:rowOff>
    </xdr:to>
    <xdr:pic>
      <xdr:nvPicPr>
        <xdr:cNvPr id="1060" name="Picture 36" descr="D:\Documents and Settings\ko-fksw\デスクトップ\新HWシミュレーター\Logo\CITILED_T.L.E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2085975" cy="4953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969696" mc:Ignorable="a14" a14:legacySpreadsheetColorIndex="55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390525</xdr:colOff>
      <xdr:row>0</xdr:row>
      <xdr:rowOff>126999</xdr:rowOff>
    </xdr:from>
    <xdr:to>
      <xdr:col>12</xdr:col>
      <xdr:colOff>466725</xdr:colOff>
      <xdr:row>2</xdr:row>
      <xdr:rowOff>109007</xdr:rowOff>
    </xdr:to>
    <xdr:sp macro="" textlink="">
      <xdr:nvSpPr>
        <xdr:cNvPr id="1062" name="WordArt 38"/>
        <xdr:cNvSpPr>
          <a:spLocks noChangeArrowheads="1" noChangeShapeType="1" noTextEdit="1"/>
        </xdr:cNvSpPr>
      </xdr:nvSpPr>
      <xdr:spPr bwMode="auto">
        <a:xfrm>
          <a:off x="2276475" y="126999"/>
          <a:ext cx="4772025" cy="401108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FF" mc:Ignorable="a14" a14:legacySpreadsheetColorIndex="12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2400" b="1" i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>
                <a:outerShdw dist="17961" dir="2700000" algn="ctr" rotWithShape="0">
                  <a:srgbClr xmlns:mc="http://schemas.openxmlformats.org/markup-compatibility/2006" xmlns:a14="http://schemas.microsoft.com/office/drawing/2010/main" val="969696" mc:Ignorable="a14" a14:legacySpreadsheetColorIndex="55"/>
                </a:outerShdw>
              </a:effectLst>
              <a:latin typeface="Arial"/>
              <a:cs typeface="Arial"/>
            </a:rPr>
            <a:t>Lighting LED Selection Tool</a:t>
          </a:r>
          <a:endParaRPr lang="ja-JP" altLang="en-US" sz="2400" b="1" i="1" kern="10" spc="0">
            <a:ln>
              <a:noFill/>
            </a:ln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effectLst>
              <a:outerShdw dist="17961" dir="2700000" algn="ctr" rotWithShape="0">
                <a:srgbClr xmlns:mc="http://schemas.openxmlformats.org/markup-compatibility/2006" xmlns:a14="http://schemas.microsoft.com/office/drawing/2010/main" val="969696" mc:Ignorable="a14" a14:legacySpreadsheetColorIndex="55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247650</xdr:colOff>
      <xdr:row>4</xdr:row>
      <xdr:rowOff>104775</xdr:rowOff>
    </xdr:from>
    <xdr:to>
      <xdr:col>13</xdr:col>
      <xdr:colOff>314325</xdr:colOff>
      <xdr:row>6</xdr:row>
      <xdr:rowOff>76200</xdr:rowOff>
    </xdr:to>
    <xdr:sp macro="" textlink="">
      <xdr:nvSpPr>
        <xdr:cNvPr id="1063" name="Rectangle 39"/>
        <xdr:cNvSpPr>
          <a:spLocks noChangeArrowheads="1"/>
        </xdr:cNvSpPr>
      </xdr:nvSpPr>
      <xdr:spPr bwMode="auto">
        <a:xfrm>
          <a:off x="247650" y="847725"/>
          <a:ext cx="6953250" cy="390525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FF" mc:Ignorable="a14" a14:legacySpreadsheetColorIndex="3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</xdr:col>
      <xdr:colOff>28575</xdr:colOff>
      <xdr:row>4</xdr:row>
      <xdr:rowOff>0</xdr:rowOff>
    </xdr:from>
    <xdr:ext cx="1114720" cy="162224"/>
    <xdr:sp macro="" textlink="">
      <xdr:nvSpPr>
        <xdr:cNvPr id="1064" name="Text Box 40"/>
        <xdr:cNvSpPr txBox="1">
          <a:spLocks noChangeArrowheads="1"/>
        </xdr:cNvSpPr>
      </xdr:nvSpPr>
      <xdr:spPr bwMode="auto">
        <a:xfrm>
          <a:off x="384727" y="737152"/>
          <a:ext cx="1114720" cy="1622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36000" tIns="0" rIns="3600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FF"/>
              </a:solidFill>
              <a:latin typeface="Arial"/>
              <a:cs typeface="Arial"/>
            </a:rPr>
            <a:t>Condition input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V40"/>
  <sheetViews>
    <sheetView showGridLines="0" tabSelected="1" zoomScale="90" zoomScaleNormal="90" workbookViewId="0"/>
  </sheetViews>
  <sheetFormatPr defaultRowHeight="14.25" x14ac:dyDescent="0.2"/>
  <cols>
    <col min="1" max="1" width="4.625" style="29" customWidth="1"/>
    <col min="2" max="2" width="9.5" style="29" customWidth="1"/>
    <col min="3" max="3" width="10.625" style="29" customWidth="1"/>
    <col min="4" max="4" width="8.625" style="29" customWidth="1"/>
    <col min="5" max="6" width="6.625" style="29" customWidth="1"/>
    <col min="7" max="7" width="8.125" style="29" customWidth="1"/>
    <col min="8" max="8" width="5.125" style="29" customWidth="1"/>
    <col min="9" max="18" width="6.625" style="29" customWidth="1"/>
    <col min="19" max="16384" width="9" style="29"/>
  </cols>
  <sheetData>
    <row r="1" spans="1:19" ht="17.10000000000000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ht="17.10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9" ht="17.10000000000000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9" ht="9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9" ht="17.100000000000001" customHeight="1" thickBot="1" x14ac:dyDescent="0.25">
      <c r="A5" s="3"/>
      <c r="B5" s="4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1"/>
    </row>
    <row r="6" spans="1:19" ht="17.100000000000001" customHeight="1" thickBot="1" x14ac:dyDescent="0.3">
      <c r="A6" s="3"/>
      <c r="B6" s="6" t="s">
        <v>10</v>
      </c>
      <c r="C6" s="41">
        <v>1</v>
      </c>
      <c r="D6" s="7">
        <v>1</v>
      </c>
      <c r="E6" s="8">
        <v>2</v>
      </c>
      <c r="F6" s="2"/>
      <c r="G6" s="9">
        <v>350</v>
      </c>
      <c r="H6" s="26" t="str">
        <f>VLOOKUP(E6,Calculation_440!A17:I18,9,FALSE)</f>
        <v>mA</v>
      </c>
      <c r="I6" s="3"/>
      <c r="J6" s="148" t="s">
        <v>132</v>
      </c>
      <c r="K6" s="149"/>
      <c r="L6" s="146">
        <v>25</v>
      </c>
      <c r="M6" s="147"/>
      <c r="N6" s="10"/>
      <c r="O6" s="5"/>
      <c r="P6" s="1"/>
    </row>
    <row r="7" spans="1:19" ht="9.9499999999999993" customHeight="1" x14ac:dyDescent="0.2">
      <c r="A7" s="3"/>
      <c r="B7" s="11"/>
      <c r="C7" s="7"/>
      <c r="D7" s="7"/>
      <c r="E7" s="1"/>
      <c r="F7" s="12"/>
      <c r="G7" s="13"/>
      <c r="H7" s="14"/>
      <c r="I7" s="3"/>
      <c r="J7" s="15"/>
      <c r="K7" s="16"/>
      <c r="L7" s="10"/>
      <c r="M7" s="16"/>
      <c r="N7" s="10"/>
      <c r="O7" s="3"/>
      <c r="P7" s="1"/>
    </row>
    <row r="8" spans="1:19" ht="9.9499999999999993" customHeight="1" thickBot="1" x14ac:dyDescent="0.25">
      <c r="A8" s="3"/>
      <c r="B8" s="3"/>
      <c r="C8" s="3"/>
      <c r="D8" s="3"/>
      <c r="E8" s="5"/>
      <c r="F8" s="5"/>
      <c r="G8" s="3"/>
      <c r="H8" s="3"/>
      <c r="I8" s="3"/>
      <c r="J8" s="3"/>
      <c r="K8" s="3"/>
      <c r="L8" s="3"/>
      <c r="M8" s="3"/>
      <c r="N8" s="3"/>
      <c r="O8" s="3"/>
      <c r="P8" s="17"/>
    </row>
    <row r="9" spans="1:19" s="31" customFormat="1" ht="17.100000000000001" customHeight="1" thickBot="1" x14ac:dyDescent="0.25">
      <c r="A9" s="3"/>
      <c r="B9" s="163" t="s">
        <v>11</v>
      </c>
      <c r="C9" s="164"/>
      <c r="D9" s="165"/>
      <c r="E9" s="172" t="str">
        <f>VLOOKUP($E6,Calculation_440!A17:I18,3,FALSE)</f>
        <v>φv (lm)</v>
      </c>
      <c r="F9" s="150"/>
      <c r="G9" s="150" t="str">
        <f>VLOOKUP($E6,Calculation_440!A17:I18,4,FALSE)</f>
        <v>Vf (V)</v>
      </c>
      <c r="H9" s="150"/>
      <c r="I9" s="150" t="str">
        <f>VLOOKUP($E6,Calculation_440!A17:I18,7,FALSE)</f>
        <v>Pd (W)</v>
      </c>
      <c r="J9" s="150"/>
      <c r="K9" s="150" t="str">
        <f>VLOOKUP($E6,Calculation_440!A17:I18,8,FALSE)</f>
        <v>lm/W</v>
      </c>
      <c r="L9" s="156"/>
      <c r="M9" s="150" t="s">
        <v>12</v>
      </c>
      <c r="N9" s="151"/>
      <c r="O9" s="30"/>
      <c r="P9" s="37"/>
      <c r="R9" s="27"/>
    </row>
    <row r="10" spans="1:19" s="31" customFormat="1" ht="18.75" hidden="1" customHeight="1" thickBot="1" x14ac:dyDescent="0.25">
      <c r="A10" s="3"/>
      <c r="B10" s="18" t="s">
        <v>13</v>
      </c>
      <c r="C10" s="19"/>
      <c r="D10" s="19"/>
      <c r="E10" s="20" t="str">
        <f>CONCATENATE($E6,E9)</f>
        <v>2φv (lm)</v>
      </c>
      <c r="F10" s="20"/>
      <c r="G10" s="21" t="str">
        <f>CONCATENATE($E6,G9)</f>
        <v>2Vf (V)</v>
      </c>
      <c r="H10" s="21"/>
      <c r="I10" s="21" t="str">
        <f>CONCATENATE($E6,I9)</f>
        <v>2Pd (W)</v>
      </c>
      <c r="J10" s="21"/>
      <c r="K10" s="21" t="str">
        <f>CONCATENATE($E6,K9)</f>
        <v>2lm/W</v>
      </c>
      <c r="L10" s="22"/>
      <c r="M10" s="23" t="str">
        <f>CONCATENATE($E6,M9)</f>
        <v>2Tj (C)</v>
      </c>
      <c r="N10" s="23"/>
      <c r="R10" s="27"/>
    </row>
    <row r="11" spans="1:19" s="31" customFormat="1" ht="17.100000000000001" customHeight="1" x14ac:dyDescent="0.2">
      <c r="A11" s="3"/>
      <c r="B11" s="169" t="str">
        <f>CONCATENATE(Calculation_440!B2,"-",Calculation_440!F2,Calculation_440!D2)</f>
        <v>PSL440-0404C4-50AL7M4</v>
      </c>
      <c r="C11" s="170"/>
      <c r="D11" s="171"/>
      <c r="E11" s="175">
        <f>HLOOKUP(E$10,Calculation_440!$C$24:$P$38,2,FALSE)</f>
        <v>587.37326815977417</v>
      </c>
      <c r="F11" s="176"/>
      <c r="G11" s="161">
        <f>HLOOKUP(G$10,Calculation_440!$C$24:$P$38,2,FALSE)</f>
        <v>11.298649612089529</v>
      </c>
      <c r="H11" s="162"/>
      <c r="I11" s="161">
        <f>HLOOKUP(I$10,Calculation_440!$C$24:$P$38,2,FALSE)</f>
        <v>3.954527364231335</v>
      </c>
      <c r="J11" s="162"/>
      <c r="K11" s="154">
        <f>HLOOKUP(K$10,Calculation_440!$C$24:$P$38,2,FALSE)</f>
        <v>148.53185072698199</v>
      </c>
      <c r="L11" s="158"/>
      <c r="M11" s="154">
        <f>HLOOKUP(M$10,Calculation_440!$C$24:$P$38,2,FALSE)</f>
        <v>38.840845774809672</v>
      </c>
      <c r="N11" s="155"/>
      <c r="O11" s="32"/>
      <c r="P11" s="38"/>
      <c r="Q11" s="39"/>
      <c r="R11" s="27"/>
      <c r="S11" s="40"/>
    </row>
    <row r="12" spans="1:19" s="31" customFormat="1" ht="17.100000000000001" customHeight="1" thickBot="1" x14ac:dyDescent="0.25">
      <c r="A12" s="3"/>
      <c r="B12" s="166" t="str">
        <f>CONCATENATE(Calculation_440!B3,"-",Calculation_440!F3,Calculation_440!D3)</f>
        <v>PSL445-0405C4-50AL7M4</v>
      </c>
      <c r="C12" s="167"/>
      <c r="D12" s="168"/>
      <c r="E12" s="173">
        <f>HLOOKUP(E$10,Calculation_445!$C$24:$P$38,3,FALSE)</f>
        <v>685.84433485810302</v>
      </c>
      <c r="F12" s="174"/>
      <c r="G12" s="159">
        <f>HLOOKUP(G$10,Calculation_445!$C$24:$P$38,3,FALSE)</f>
        <v>11.488122604501358</v>
      </c>
      <c r="H12" s="160"/>
      <c r="I12" s="159">
        <f>HLOOKUP(I$10,Calculation_445!$C$24:$P$38,3,FALSE)</f>
        <v>4.0208429115754756</v>
      </c>
      <c r="J12" s="160"/>
      <c r="K12" s="152">
        <f>HLOOKUP(K$10,Calculation_445!$C$24:$P$38,3,FALSE)</f>
        <v>170.57227798769452</v>
      </c>
      <c r="L12" s="157"/>
      <c r="M12" s="152">
        <f>HLOOKUP(M$10,Calculation_445!$C$24:$P$38,3,FALSE)</f>
        <v>36.258360152411328</v>
      </c>
      <c r="N12" s="153"/>
      <c r="O12" s="32"/>
      <c r="P12" s="38"/>
      <c r="Q12" s="39"/>
      <c r="R12" s="27"/>
      <c r="S12" s="40"/>
    </row>
    <row r="13" spans="1:19" ht="24.95" customHeight="1" x14ac:dyDescent="0.25">
      <c r="A13" s="3"/>
      <c r="B13" s="3"/>
      <c r="C13" s="24" t="s">
        <v>14</v>
      </c>
      <c r="D13" s="3"/>
      <c r="E13" s="3"/>
      <c r="F13" s="3"/>
      <c r="G13" s="3"/>
      <c r="H13" s="3"/>
      <c r="I13" s="3"/>
      <c r="J13" s="25"/>
      <c r="K13" s="31"/>
      <c r="N13" s="42" t="s">
        <v>153</v>
      </c>
    </row>
    <row r="14" spans="1:19" ht="12.95" customHeight="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9" ht="12.95" customHeight="1" x14ac:dyDescent="0.2">
      <c r="A15" s="31"/>
      <c r="B15" s="33" t="s">
        <v>69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spans="1:19" ht="17.100000000000001" customHeight="1" x14ac:dyDescent="0.2">
      <c r="A16" s="31"/>
      <c r="B16" s="33" t="s">
        <v>70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spans="1:22" ht="17.100000000000001" customHeight="1" x14ac:dyDescent="0.2">
      <c r="A17" s="31"/>
      <c r="B17" s="33" t="s">
        <v>71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22" ht="17.100000000000001" customHeight="1" x14ac:dyDescent="0.2">
      <c r="A18" s="31"/>
      <c r="B18" s="33" t="s">
        <v>72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1:22" ht="15" customHeight="1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spans="1:22" ht="15" customHeight="1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</row>
    <row r="21" spans="1:22" ht="15" customHeight="1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spans="1:22" ht="15" customHeight="1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</row>
    <row r="24" spans="1:22" x14ac:dyDescent="0.2">
      <c r="U24" s="28"/>
      <c r="V24" s="28"/>
    </row>
    <row r="27" spans="1:22" x14ac:dyDescent="0.2">
      <c r="V27" s="34"/>
    </row>
    <row r="28" spans="1:22" x14ac:dyDescent="0.2">
      <c r="V28" s="34"/>
    </row>
    <row r="29" spans="1:22" x14ac:dyDescent="0.2">
      <c r="V29" s="34"/>
    </row>
    <row r="30" spans="1:22" x14ac:dyDescent="0.2">
      <c r="U30" s="35"/>
      <c r="V30" s="34"/>
    </row>
    <row r="31" spans="1:22" x14ac:dyDescent="0.2">
      <c r="V31" s="34"/>
    </row>
    <row r="39" spans="2:4" x14ac:dyDescent="0.2">
      <c r="B39" s="36"/>
      <c r="C39" s="36"/>
      <c r="D39" s="36"/>
    </row>
    <row r="40" spans="2:4" x14ac:dyDescent="0.2">
      <c r="B40" s="36"/>
      <c r="C40" s="36"/>
      <c r="D40" s="36"/>
    </row>
  </sheetData>
  <sheetProtection password="C071" sheet="1" objects="1" scenarios="1"/>
  <mergeCells count="20">
    <mergeCell ref="B9:D9"/>
    <mergeCell ref="B12:D12"/>
    <mergeCell ref="B11:D11"/>
    <mergeCell ref="G11:H11"/>
    <mergeCell ref="E9:F9"/>
    <mergeCell ref="E12:F12"/>
    <mergeCell ref="E11:F11"/>
    <mergeCell ref="G9:H9"/>
    <mergeCell ref="G12:H12"/>
    <mergeCell ref="L6:M6"/>
    <mergeCell ref="J6:K6"/>
    <mergeCell ref="M9:N9"/>
    <mergeCell ref="M12:N12"/>
    <mergeCell ref="M11:N11"/>
    <mergeCell ref="K9:L9"/>
    <mergeCell ref="K12:L12"/>
    <mergeCell ref="K11:L11"/>
    <mergeCell ref="I9:J9"/>
    <mergeCell ref="I12:J12"/>
    <mergeCell ref="I11:J11"/>
  </mergeCells>
  <phoneticPr fontId="4"/>
  <conditionalFormatting sqref="E12:N12">
    <cfRule type="cellIs" dxfId="7" priority="14" stopIfTrue="1" operator="equal">
      <formula>"Not Applicable"</formula>
    </cfRule>
  </conditionalFormatting>
  <conditionalFormatting sqref="L6:M6">
    <cfRule type="cellIs" dxfId="6" priority="16" stopIfTrue="1" operator="greaterThanOrEqual">
      <formula>120.001</formula>
    </cfRule>
    <cfRule type="cellIs" dxfId="5" priority="17" stopIfTrue="1" operator="lessThanOrEqual">
      <formula>-40.001</formula>
    </cfRule>
  </conditionalFormatting>
  <conditionalFormatting sqref="E11:N11">
    <cfRule type="cellIs" dxfId="4" priority="3" stopIfTrue="1" operator="equal">
      <formula>"Not Applicable"</formula>
    </cfRule>
  </conditionalFormatting>
  <pageMargins left="0.39370078740157483" right="0.39370078740157483" top="0.39370078740157483" bottom="0.39370078740157483" header="0.51181102362204722" footer="0.51181102362204722"/>
  <pageSetup paperSize="9" scale="14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Drop Down 14">
              <controlPr locked="0" defaultSize="0" autoLine="0" autoPict="0">
                <anchor moveWithCells="1">
                  <from>
                    <xdr:col>2</xdr:col>
                    <xdr:colOff>9525</xdr:colOff>
                    <xdr:row>4</xdr:row>
                    <xdr:rowOff>200025</xdr:rowOff>
                  </from>
                  <to>
                    <xdr:col>3</xdr:col>
                    <xdr:colOff>333375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Drop Down 17">
              <controlPr locked="0" defaultSize="0" autoLine="0" autoPict="0">
                <anchor moveWithCells="1">
                  <from>
                    <xdr:col>3</xdr:col>
                    <xdr:colOff>533400</xdr:colOff>
                    <xdr:row>4</xdr:row>
                    <xdr:rowOff>200025</xdr:rowOff>
                  </from>
                  <to>
                    <xdr:col>5</xdr:col>
                    <xdr:colOff>495300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F176"/>
  <sheetViews>
    <sheetView view="pageBreakPreview" topLeftCell="AG177" zoomScale="60" zoomScaleNormal="75" workbookViewId="0">
      <selection activeCell="AL194" sqref="AL194"/>
    </sheetView>
  </sheetViews>
  <sheetFormatPr defaultColWidth="2.5" defaultRowHeight="23.25" customHeight="1" x14ac:dyDescent="0.15"/>
  <cols>
    <col min="1" max="1" width="3.125" style="61" hidden="1" customWidth="1"/>
    <col min="2" max="2" width="16.75" style="61" hidden="1" customWidth="1"/>
    <col min="3" max="17" width="15.625" style="61" hidden="1" customWidth="1"/>
    <col min="18" max="18" width="21.75" style="61" hidden="1" customWidth="1"/>
    <col min="19" max="21" width="15.625" style="61" hidden="1" customWidth="1"/>
    <col min="22" max="24" width="20.375" style="61" hidden="1" customWidth="1"/>
    <col min="25" max="29" width="19.625" style="61" hidden="1" customWidth="1"/>
    <col min="30" max="32" width="12.5" style="61" hidden="1" customWidth="1"/>
    <col min="33" max="16384" width="2.5" style="61"/>
  </cols>
  <sheetData>
    <row r="1" spans="1:24" ht="16.5" hidden="1" x14ac:dyDescent="0.15">
      <c r="A1" s="58"/>
      <c r="B1" s="58" t="s">
        <v>15</v>
      </c>
      <c r="C1" s="58"/>
      <c r="D1" s="58"/>
      <c r="E1" s="58"/>
      <c r="F1" s="58"/>
      <c r="G1" s="58" t="s">
        <v>16</v>
      </c>
      <c r="H1" s="58" t="s">
        <v>17</v>
      </c>
      <c r="J1" s="58"/>
      <c r="L1" s="62" t="s">
        <v>18</v>
      </c>
      <c r="M1" s="62" t="s">
        <v>19</v>
      </c>
      <c r="N1" s="62" t="s">
        <v>20</v>
      </c>
      <c r="O1" s="58"/>
      <c r="P1" s="58"/>
      <c r="Q1" s="58"/>
      <c r="R1" s="58"/>
      <c r="S1" s="58"/>
      <c r="T1" s="58"/>
      <c r="U1" s="58"/>
      <c r="V1" s="58"/>
      <c r="W1" s="58"/>
    </row>
    <row r="2" spans="1:24" ht="16.5" hidden="1" x14ac:dyDescent="0.15">
      <c r="A2" s="58"/>
      <c r="B2" s="63" t="s">
        <v>119</v>
      </c>
      <c r="C2" s="58" t="str">
        <f>VLOOKUP(Simulator!$C$6,J2:N15,2,FALSE)</f>
        <v>C4</v>
      </c>
      <c r="D2" s="58" t="str">
        <f>VLOOKUP(Simulator!$C$6,J2:N15,5,FALSE)</f>
        <v>M4</v>
      </c>
      <c r="E2" s="58" t="str">
        <f>VLOOKUP(Simulator!$C$6,$J$2:$N$15,3,FALSE)</f>
        <v>5000K,70Min</v>
      </c>
      <c r="F2" s="58" t="str">
        <f>VLOOKUP(Simulator!$C$6,J2:N15,4,FALSE)</f>
        <v>50AL7</v>
      </c>
      <c r="G2" s="58" t="s">
        <v>101</v>
      </c>
      <c r="H2" s="58" t="s">
        <v>22</v>
      </c>
      <c r="J2" s="58">
        <v>1</v>
      </c>
      <c r="K2" s="64" t="s">
        <v>99</v>
      </c>
      <c r="L2" s="50" t="s">
        <v>100</v>
      </c>
      <c r="M2" s="63" t="s">
        <v>77</v>
      </c>
      <c r="N2" s="63" t="s">
        <v>106</v>
      </c>
      <c r="O2" s="58"/>
      <c r="P2" s="58"/>
      <c r="Q2" s="58"/>
      <c r="R2" s="58"/>
      <c r="S2" s="58"/>
      <c r="T2" s="58"/>
      <c r="U2" s="58"/>
      <c r="V2" s="58"/>
      <c r="W2" s="58"/>
    </row>
    <row r="3" spans="1:24" ht="16.5" hidden="1" x14ac:dyDescent="0.15">
      <c r="A3" s="58"/>
      <c r="B3" s="63" t="s">
        <v>120</v>
      </c>
      <c r="C3" s="58" t="str">
        <f t="shared" ref="C3" si="0">$C$2</f>
        <v>C4</v>
      </c>
      <c r="D3" s="58" t="str">
        <f t="shared" ref="D3" si="1">$D$2</f>
        <v>M4</v>
      </c>
      <c r="E3" s="58" t="str">
        <f>$E$2</f>
        <v>5000K,70Min</v>
      </c>
      <c r="F3" s="58" t="str">
        <f>$F$2</f>
        <v>50AL7</v>
      </c>
      <c r="G3" s="58" t="s">
        <v>21</v>
      </c>
      <c r="H3" s="58" t="s">
        <v>93</v>
      </c>
      <c r="J3" s="58">
        <v>2</v>
      </c>
      <c r="K3" s="64" t="s">
        <v>99</v>
      </c>
      <c r="L3" s="50" t="s">
        <v>98</v>
      </c>
      <c r="M3" s="63" t="s">
        <v>78</v>
      </c>
      <c r="N3" s="63" t="s">
        <v>106</v>
      </c>
      <c r="O3" s="58"/>
      <c r="P3" s="58"/>
      <c r="Q3" s="58"/>
      <c r="R3" s="58"/>
      <c r="S3" s="58"/>
      <c r="T3" s="58"/>
      <c r="U3" s="58"/>
      <c r="V3" s="58"/>
      <c r="W3" s="58"/>
      <c r="X3" s="65"/>
    </row>
    <row r="4" spans="1:24" ht="16.5" hidden="1" x14ac:dyDescent="0.15">
      <c r="A4" s="58"/>
      <c r="B4" s="58"/>
      <c r="C4" s="58"/>
      <c r="D4" s="58"/>
      <c r="E4" s="58"/>
      <c r="F4" s="58"/>
      <c r="G4" s="58" t="s">
        <v>91</v>
      </c>
      <c r="H4" s="58" t="s">
        <v>94</v>
      </c>
      <c r="J4" s="58">
        <v>3</v>
      </c>
      <c r="K4" s="64" t="s">
        <v>99</v>
      </c>
      <c r="L4" s="50" t="s">
        <v>102</v>
      </c>
      <c r="M4" s="63" t="s">
        <v>127</v>
      </c>
      <c r="N4" s="63" t="s">
        <v>104</v>
      </c>
      <c r="O4" s="58"/>
      <c r="P4" s="58"/>
      <c r="Q4" s="58"/>
      <c r="R4" s="58"/>
      <c r="S4" s="58"/>
      <c r="T4" s="58"/>
      <c r="U4" s="58"/>
      <c r="V4" s="58"/>
      <c r="W4" s="58"/>
    </row>
    <row r="5" spans="1:24" ht="16.5" hidden="1" x14ac:dyDescent="0.15">
      <c r="A5" s="58"/>
      <c r="B5" s="58"/>
      <c r="C5" s="58"/>
      <c r="D5" s="58"/>
      <c r="E5" s="58"/>
      <c r="F5" s="58"/>
      <c r="G5" s="58" t="s">
        <v>92</v>
      </c>
      <c r="H5" s="58" t="s">
        <v>94</v>
      </c>
      <c r="J5" s="58">
        <v>4</v>
      </c>
      <c r="K5" s="64" t="s">
        <v>99</v>
      </c>
      <c r="L5" s="50" t="s">
        <v>76</v>
      </c>
      <c r="M5" s="63" t="s">
        <v>73</v>
      </c>
      <c r="N5" s="63" t="s">
        <v>104</v>
      </c>
      <c r="O5" s="58"/>
      <c r="P5" s="58"/>
      <c r="Q5" s="58"/>
      <c r="R5" s="58"/>
      <c r="S5" s="58"/>
      <c r="T5" s="58"/>
      <c r="U5" s="58"/>
      <c r="V5" s="58"/>
      <c r="W5" s="58"/>
    </row>
    <row r="6" spans="1:24" ht="16.5" hidden="1" x14ac:dyDescent="0.15">
      <c r="A6" s="58"/>
      <c r="B6" s="58"/>
      <c r="C6" s="58"/>
      <c r="D6" s="58"/>
      <c r="E6" s="58"/>
      <c r="F6" s="58"/>
      <c r="G6" s="58" t="s">
        <v>23</v>
      </c>
      <c r="H6" s="58" t="s">
        <v>22</v>
      </c>
      <c r="J6" s="58">
        <v>5</v>
      </c>
      <c r="K6" s="64" t="s">
        <v>99</v>
      </c>
      <c r="L6" s="50" t="s">
        <v>79</v>
      </c>
      <c r="M6" s="63" t="s">
        <v>83</v>
      </c>
      <c r="N6" s="63" t="s">
        <v>104</v>
      </c>
      <c r="O6" s="58"/>
      <c r="P6" s="58"/>
      <c r="Q6" s="58"/>
      <c r="R6" s="58"/>
      <c r="S6" s="58"/>
      <c r="T6" s="58"/>
      <c r="U6" s="58"/>
      <c r="V6" s="58"/>
      <c r="W6" s="58"/>
    </row>
    <row r="7" spans="1:24" ht="16.5" hidden="1" x14ac:dyDescent="0.15">
      <c r="A7" s="58"/>
      <c r="B7" s="58"/>
      <c r="C7" s="58"/>
      <c r="D7" s="58"/>
      <c r="E7" s="58"/>
      <c r="F7" s="58"/>
      <c r="G7" s="58" t="s">
        <v>9</v>
      </c>
      <c r="H7" s="58" t="s">
        <v>94</v>
      </c>
      <c r="J7" s="58">
        <v>6</v>
      </c>
      <c r="K7" s="64" t="s">
        <v>99</v>
      </c>
      <c r="L7" s="50" t="s">
        <v>80</v>
      </c>
      <c r="M7" s="63" t="s">
        <v>84</v>
      </c>
      <c r="N7" s="63" t="s">
        <v>104</v>
      </c>
      <c r="O7" s="58"/>
      <c r="P7" s="58"/>
      <c r="Q7" s="58"/>
      <c r="R7" s="58"/>
      <c r="S7" s="58"/>
      <c r="T7" s="58"/>
      <c r="U7" s="58"/>
      <c r="V7" s="58"/>
      <c r="W7" s="58"/>
    </row>
    <row r="8" spans="1:24" ht="16.5" hidden="1" x14ac:dyDescent="0.15">
      <c r="A8" s="58"/>
      <c r="B8" s="58"/>
      <c r="C8" s="58"/>
      <c r="D8" s="58"/>
      <c r="E8" s="58"/>
      <c r="F8" s="58"/>
      <c r="G8" s="58"/>
      <c r="H8" s="58"/>
      <c r="J8" s="58">
        <v>7</v>
      </c>
      <c r="K8" s="64" t="s">
        <v>99</v>
      </c>
      <c r="L8" s="50" t="s">
        <v>81</v>
      </c>
      <c r="M8" s="63" t="s">
        <v>85</v>
      </c>
      <c r="N8" s="63" t="s">
        <v>104</v>
      </c>
      <c r="O8" s="58"/>
      <c r="P8" s="58"/>
      <c r="Q8" s="58"/>
      <c r="R8" s="58"/>
      <c r="S8" s="58"/>
      <c r="T8" s="58"/>
      <c r="U8" s="58"/>
      <c r="V8" s="58"/>
      <c r="W8" s="58"/>
    </row>
    <row r="9" spans="1:24" ht="16.5" hidden="1" x14ac:dyDescent="0.15">
      <c r="A9" s="58"/>
      <c r="B9" s="58"/>
      <c r="C9" s="58"/>
      <c r="D9" s="58"/>
      <c r="E9" s="58"/>
      <c r="F9" s="58"/>
      <c r="G9" s="58"/>
      <c r="H9" s="58"/>
      <c r="J9" s="58">
        <v>8</v>
      </c>
      <c r="K9" s="64" t="s">
        <v>99</v>
      </c>
      <c r="L9" s="50" t="s">
        <v>82</v>
      </c>
      <c r="M9" s="63" t="s">
        <v>86</v>
      </c>
      <c r="N9" s="63" t="s">
        <v>104</v>
      </c>
      <c r="O9" s="58"/>
      <c r="P9" s="58"/>
      <c r="Q9" s="58"/>
      <c r="R9" s="58"/>
      <c r="S9" s="58"/>
      <c r="T9" s="58"/>
      <c r="U9" s="58"/>
      <c r="V9" s="58"/>
      <c r="W9" s="58"/>
    </row>
    <row r="10" spans="1:24" ht="16.5" hidden="1" x14ac:dyDescent="0.15">
      <c r="E10" s="58"/>
      <c r="F10" s="58"/>
      <c r="G10" s="58"/>
      <c r="H10" s="58"/>
      <c r="J10" s="58">
        <v>9</v>
      </c>
      <c r="K10" s="64" t="s">
        <v>99</v>
      </c>
      <c r="L10" s="50" t="s">
        <v>103</v>
      </c>
      <c r="M10" s="63" t="s">
        <v>128</v>
      </c>
      <c r="N10" s="63" t="s">
        <v>105</v>
      </c>
      <c r="O10" s="58"/>
      <c r="P10" s="58"/>
      <c r="Q10" s="58"/>
      <c r="R10" s="58"/>
      <c r="S10" s="58"/>
      <c r="T10" s="58"/>
      <c r="U10" s="58"/>
      <c r="V10" s="58"/>
      <c r="W10" s="58"/>
    </row>
    <row r="11" spans="1:24" ht="16.5" hidden="1" x14ac:dyDescent="0.15">
      <c r="E11" s="58"/>
      <c r="F11" s="58"/>
      <c r="G11" s="58"/>
      <c r="H11" s="58"/>
      <c r="I11" s="58"/>
      <c r="J11" s="58">
        <v>10</v>
      </c>
      <c r="K11" s="64" t="s">
        <v>99</v>
      </c>
      <c r="L11" s="50" t="s">
        <v>121</v>
      </c>
      <c r="M11" s="63" t="s">
        <v>122</v>
      </c>
      <c r="N11" s="63" t="s">
        <v>105</v>
      </c>
      <c r="O11" s="58"/>
      <c r="P11" s="58"/>
      <c r="Q11" s="58"/>
      <c r="R11" s="58"/>
      <c r="S11" s="58"/>
      <c r="T11" s="58"/>
      <c r="U11" s="58"/>
      <c r="V11" s="58"/>
      <c r="W11" s="58"/>
    </row>
    <row r="12" spans="1:24" ht="16.5" hidden="1" x14ac:dyDescent="0.15">
      <c r="E12" s="58"/>
      <c r="F12" s="58"/>
      <c r="G12" s="58"/>
      <c r="H12" s="58"/>
      <c r="I12" s="58"/>
      <c r="J12" s="58">
        <v>11</v>
      </c>
      <c r="K12" s="64" t="s">
        <v>99</v>
      </c>
      <c r="L12" s="50" t="s">
        <v>87</v>
      </c>
      <c r="M12" s="63" t="s">
        <v>123</v>
      </c>
      <c r="N12" s="63" t="s">
        <v>105</v>
      </c>
      <c r="O12" s="58"/>
      <c r="P12" s="58"/>
      <c r="Q12" s="58"/>
      <c r="R12" s="58"/>
      <c r="S12" s="58"/>
      <c r="T12" s="58"/>
      <c r="U12" s="58"/>
      <c r="V12" s="58"/>
      <c r="W12" s="58"/>
    </row>
    <row r="13" spans="1:24" ht="16.5" hidden="1" x14ac:dyDescent="0.15">
      <c r="E13" s="58"/>
      <c r="F13" s="58"/>
      <c r="I13" s="58"/>
      <c r="J13" s="58">
        <v>12</v>
      </c>
      <c r="K13" s="64" t="s">
        <v>99</v>
      </c>
      <c r="L13" s="50" t="s">
        <v>88</v>
      </c>
      <c r="M13" s="63" t="s">
        <v>124</v>
      </c>
      <c r="N13" s="63" t="s">
        <v>105</v>
      </c>
      <c r="O13" s="58"/>
      <c r="P13" s="58"/>
      <c r="Q13" s="58"/>
      <c r="R13" s="58"/>
      <c r="S13" s="58"/>
      <c r="T13" s="58"/>
      <c r="U13" s="58"/>
      <c r="V13" s="58"/>
      <c r="W13" s="58"/>
    </row>
    <row r="14" spans="1:24" ht="16.5" hidden="1" x14ac:dyDescent="0.15">
      <c r="E14" s="58"/>
      <c r="F14" s="58"/>
      <c r="I14" s="58"/>
      <c r="J14" s="58">
        <v>13</v>
      </c>
      <c r="K14" s="64" t="s">
        <v>99</v>
      </c>
      <c r="L14" s="50" t="s">
        <v>89</v>
      </c>
      <c r="M14" s="63" t="s">
        <v>125</v>
      </c>
      <c r="N14" s="63" t="s">
        <v>105</v>
      </c>
      <c r="O14" s="58"/>
      <c r="P14" s="58"/>
      <c r="Q14" s="58"/>
      <c r="R14" s="58"/>
      <c r="S14" s="58"/>
      <c r="T14" s="58"/>
      <c r="U14" s="58"/>
      <c r="V14" s="58"/>
      <c r="W14" s="58"/>
    </row>
    <row r="15" spans="1:24" ht="16.5" hidden="1" x14ac:dyDescent="0.15">
      <c r="E15" s="58"/>
      <c r="F15" s="58"/>
      <c r="I15" s="58"/>
      <c r="J15" s="58">
        <v>14</v>
      </c>
      <c r="K15" s="64" t="s">
        <v>99</v>
      </c>
      <c r="L15" s="50" t="s">
        <v>90</v>
      </c>
      <c r="M15" s="63" t="s">
        <v>126</v>
      </c>
      <c r="N15" s="63" t="s">
        <v>105</v>
      </c>
      <c r="O15" s="58"/>
      <c r="P15" s="58"/>
      <c r="Q15" s="58"/>
      <c r="R15" s="58"/>
      <c r="S15" s="58"/>
      <c r="T15" s="58"/>
      <c r="U15" s="58"/>
      <c r="V15" s="58"/>
      <c r="W15" s="58"/>
    </row>
    <row r="16" spans="1:24" ht="16.5" hidden="1" x14ac:dyDescent="0.15">
      <c r="E16" s="58"/>
      <c r="F16" s="58"/>
      <c r="I16" s="58"/>
      <c r="O16" s="58"/>
      <c r="P16" s="58"/>
      <c r="Q16" s="58"/>
      <c r="R16" s="58"/>
      <c r="S16" s="58"/>
      <c r="T16" s="58"/>
      <c r="U16" s="58"/>
      <c r="V16" s="58"/>
      <c r="W16" s="58"/>
    </row>
    <row r="17" spans="1:27" ht="16.5" hidden="1" x14ac:dyDescent="0.15">
      <c r="A17" s="58">
        <v>1</v>
      </c>
      <c r="B17" s="66" t="s">
        <v>24</v>
      </c>
      <c r="C17" s="58" t="s">
        <v>25</v>
      </c>
      <c r="D17" s="58" t="s">
        <v>74</v>
      </c>
      <c r="E17" s="58" t="s">
        <v>60</v>
      </c>
      <c r="F17" s="58" t="s">
        <v>61</v>
      </c>
      <c r="G17" s="58" t="s">
        <v>26</v>
      </c>
      <c r="H17" s="58" t="s">
        <v>27</v>
      </c>
      <c r="I17" s="58" t="s">
        <v>28</v>
      </c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1:27" ht="16.5" hidden="1" x14ac:dyDescent="0.15">
      <c r="A18" s="58">
        <v>2</v>
      </c>
      <c r="B18" s="66" t="s">
        <v>29</v>
      </c>
      <c r="C18" s="58" t="s">
        <v>30</v>
      </c>
      <c r="D18" s="58" t="s">
        <v>75</v>
      </c>
      <c r="E18" s="58" t="s">
        <v>60</v>
      </c>
      <c r="F18" s="58" t="s">
        <v>61</v>
      </c>
      <c r="G18" s="58" t="s">
        <v>26</v>
      </c>
      <c r="H18" s="58" t="s">
        <v>0</v>
      </c>
      <c r="I18" s="58" t="s">
        <v>31</v>
      </c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1:27" ht="16.5" hidden="1" x14ac:dyDescent="0.15">
      <c r="A19" s="58">
        <v>3</v>
      </c>
      <c r="B19" s="58"/>
      <c r="C19" s="58" t="s">
        <v>28</v>
      </c>
      <c r="D19" s="58" t="s">
        <v>68</v>
      </c>
      <c r="E19" s="58" t="s">
        <v>67</v>
      </c>
      <c r="F19" s="58" t="s">
        <v>0</v>
      </c>
      <c r="G19" s="58" t="s">
        <v>32</v>
      </c>
      <c r="H19" s="58" t="s">
        <v>0</v>
      </c>
      <c r="I19" s="58" t="s">
        <v>33</v>
      </c>
      <c r="J19" s="66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1:27" ht="16.5" hidden="1" x14ac:dyDescent="0.15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</row>
    <row r="21" spans="1:27" ht="16.5" hidden="1" x14ac:dyDescent="0.15">
      <c r="A21" s="67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</row>
    <row r="22" spans="1:27" ht="16.5" hidden="1" x14ac:dyDescent="0.15">
      <c r="A22" s="58"/>
      <c r="B22" s="58"/>
      <c r="C22" s="58" t="s">
        <v>34</v>
      </c>
      <c r="D22" s="58"/>
      <c r="E22" s="58"/>
      <c r="F22" s="58"/>
      <c r="G22" s="58"/>
      <c r="H22" s="58" t="s">
        <v>35</v>
      </c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</row>
    <row r="23" spans="1:27" ht="16.5" hidden="1" x14ac:dyDescent="0.15">
      <c r="A23" s="58"/>
      <c r="B23" s="58"/>
      <c r="C23" s="68" t="str">
        <f>C17</f>
        <v>If (mA)</v>
      </c>
      <c r="D23" s="68" t="str">
        <f>D17</f>
        <v>Vf (V)</v>
      </c>
      <c r="E23" s="68" t="str">
        <f t="shared" ref="E23:F23" si="2">E17</f>
        <v>Vf_min (V)</v>
      </c>
      <c r="F23" s="68" t="str">
        <f t="shared" si="2"/>
        <v>Vf_max (V)</v>
      </c>
      <c r="G23" s="68" t="str">
        <f>G17</f>
        <v>Pd (W)</v>
      </c>
      <c r="H23" s="68" t="str">
        <f>H17</f>
        <v>lm/W</v>
      </c>
      <c r="I23" s="68" t="str">
        <f>Simulator!M9</f>
        <v>Tj (C)</v>
      </c>
      <c r="J23" s="69" t="str">
        <f>C18</f>
        <v>φv (lm)</v>
      </c>
      <c r="K23" s="69" t="str">
        <f>D18</f>
        <v>Vf (V)</v>
      </c>
      <c r="L23" s="69" t="str">
        <f t="shared" ref="L23:M23" si="3">E18</f>
        <v>Vf_min (V)</v>
      </c>
      <c r="M23" s="69" t="str">
        <f t="shared" si="3"/>
        <v>Vf_max (V)</v>
      </c>
      <c r="N23" s="69" t="str">
        <f>G18</f>
        <v>Pd (W)</v>
      </c>
      <c r="O23" s="69" t="str">
        <f>H18</f>
        <v>lm/W</v>
      </c>
      <c r="P23" s="69" t="str">
        <f>Simulator!M9</f>
        <v>Tj (C)</v>
      </c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</row>
    <row r="24" spans="1:27" ht="16.5" hidden="1" x14ac:dyDescent="0.15">
      <c r="A24" s="58"/>
      <c r="B24" s="58"/>
      <c r="C24" s="68" t="str">
        <f>CONCATENATE($A17,C17)</f>
        <v>1If (mA)</v>
      </c>
      <c r="D24" s="68" t="str">
        <f>CONCATENATE($A17,D17)</f>
        <v>1Vf (V)</v>
      </c>
      <c r="E24" s="68" t="str">
        <f t="shared" ref="E24:F24" si="4">CONCATENATE($A17,E17)</f>
        <v>1Vf_min (V)</v>
      </c>
      <c r="F24" s="68" t="str">
        <f t="shared" si="4"/>
        <v>1Vf_max (V)</v>
      </c>
      <c r="G24" s="68" t="str">
        <f>CONCATENATE($A17,G17)</f>
        <v>1Pd (W)</v>
      </c>
      <c r="H24" s="68" t="str">
        <f>CONCATENATE($A17,H17)</f>
        <v>1lm/W</v>
      </c>
      <c r="I24" s="68" t="str">
        <f>CONCATENATE($A17,I23)</f>
        <v>1Tj (C)</v>
      </c>
      <c r="J24" s="69" t="str">
        <f>CONCATENATE($A18,C18)</f>
        <v>2φv (lm)</v>
      </c>
      <c r="K24" s="69" t="str">
        <f>CONCATENATE($A18,D18)</f>
        <v>2Vf (V)</v>
      </c>
      <c r="L24" s="69" t="str">
        <f t="shared" ref="L24:M24" si="5">CONCATENATE($A18,E18)</f>
        <v>2Vf_min (V)</v>
      </c>
      <c r="M24" s="69" t="str">
        <f t="shared" si="5"/>
        <v>2Vf_max (V)</v>
      </c>
      <c r="N24" s="69" t="str">
        <f>CONCATENATE($A18,G18)</f>
        <v>2Pd (W)</v>
      </c>
      <c r="O24" s="69" t="str">
        <f>CONCATENATE($A18,H18)</f>
        <v>2lm/W</v>
      </c>
      <c r="P24" s="69" t="str">
        <f>CONCATENATE($A18,P23)</f>
        <v>2Tj (C)</v>
      </c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</row>
    <row r="25" spans="1:27" ht="16.5" hidden="1" x14ac:dyDescent="0.15">
      <c r="A25" s="58"/>
      <c r="B25" s="58" t="str">
        <f>B2</f>
        <v>PSL440-0404C4</v>
      </c>
      <c r="C25" s="70">
        <f>IF(Calculation_440!U103,Calculation_440!N77,"Not Applicable")</f>
        <v>201.12788525935093</v>
      </c>
      <c r="D25" s="71">
        <f>IF(Calculation_440!U103,Calculation_440!R77,"Not Applicable")</f>
        <v>10.836582737922487</v>
      </c>
      <c r="E25" s="71">
        <f>IF(Calculation_440!U103,Calculation_440!P77,"Not Applicable")</f>
        <v>9.9696561188886896</v>
      </c>
      <c r="F25" s="71">
        <f>IF(Calculation_440!U103,Calculation_440!Q77,"Not Applicable")</f>
        <v>11.703509356956287</v>
      </c>
      <c r="G25" s="71">
        <f>IF(Calculation_440!U103,Calculation_440!S77,"Not Applicable")</f>
        <v>2.179538969516337</v>
      </c>
      <c r="H25" s="71">
        <f>IF(Calculation_440!U103,Calculation_440!U77,"Not Applicable")</f>
        <v>160.58441940942618</v>
      </c>
      <c r="I25" s="71">
        <f>IF(Calculation_440!W103,Calculation_440!X77,"Not Applicable")</f>
        <v>32.628386393307181</v>
      </c>
      <c r="J25" s="70">
        <f>IF(Calculation_440!U163,Calculation_440!N137,"Not Applicable")</f>
        <v>587.37326815977417</v>
      </c>
      <c r="K25" s="71">
        <f>IF(Calculation_440!U163,Calculation_440!R137,"Not Applicable")</f>
        <v>11.298649612089529</v>
      </c>
      <c r="L25" s="71">
        <f>IF(Calculation_440!U163,Calculation_440!P137,"Not Applicable")</f>
        <v>10.394757643122366</v>
      </c>
      <c r="M25" s="71">
        <f>IF(Calculation_440!U163,Calculation_440!Q137,"Not Applicable")</f>
        <v>12.202541581056691</v>
      </c>
      <c r="N25" s="71">
        <f>IF(Calculation_440!U163,Calculation_440!S137,"Not Applicable")</f>
        <v>3.954527364231335</v>
      </c>
      <c r="O25" s="71">
        <f>IF(Calculation_440!U163,Calculation_440!U137,"Not Applicable")</f>
        <v>148.53185072698199</v>
      </c>
      <c r="P25" s="71">
        <f>IF(Calculation_440!W163,Calculation_440!X137,"Not Applicable")</f>
        <v>38.840845774809672</v>
      </c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</row>
    <row r="26" spans="1:27" ht="16.5" hidden="1" x14ac:dyDescent="0.15">
      <c r="A26" s="58"/>
      <c r="B26" s="58" t="str">
        <f>B3</f>
        <v>PSL445-0405C4</v>
      </c>
      <c r="C26" s="70" t="str">
        <f>IF(Calculation_440!U104,Calculation_440!N78,"Not Applicable")</f>
        <v>Not Applicable</v>
      </c>
      <c r="D26" s="71" t="str">
        <f>IF(Calculation_440!U104,Calculation_440!R78,"Not Applicable")</f>
        <v>Not Applicable</v>
      </c>
      <c r="E26" s="71" t="str">
        <f>IF(Calculation_440!U104,Calculation_440!P78,"Not Applicable")</f>
        <v>Not Applicable</v>
      </c>
      <c r="F26" s="71" t="str">
        <f>IF(Calculation_440!U104,Calculation_440!Q78,"Not Applicable")</f>
        <v>Not Applicable</v>
      </c>
      <c r="G26" s="71" t="str">
        <f>IF(Calculation_440!U104,Calculation_440!S78,"Not Applicable")</f>
        <v>Not Applicable</v>
      </c>
      <c r="H26" s="71" t="str">
        <f>IF(Calculation_440!U104,Calculation_440!U78,"Not Applicable")</f>
        <v>Not Applicable</v>
      </c>
      <c r="I26" s="71" t="str">
        <f>IF(Calculation_440!W104,Calculation_440!X78,"Not Applicable")</f>
        <v>Not Applicable</v>
      </c>
      <c r="J26" s="70" t="str">
        <f>IF(Calculation_440!U164,Calculation_440!N138,"Not Applicable")</f>
        <v>Not Applicable</v>
      </c>
      <c r="K26" s="71" t="str">
        <f>IF(Calculation_440!U164,Calculation_440!R138,"Not Applicable")</f>
        <v>Not Applicable</v>
      </c>
      <c r="L26" s="71" t="str">
        <f>IF(Calculation_440!U164,Calculation_440!P138,"Not Applicable")</f>
        <v>Not Applicable</v>
      </c>
      <c r="M26" s="71" t="str">
        <f>IF(Calculation_440!U164,Calculation_440!Q138,"Not Applicable")</f>
        <v>Not Applicable</v>
      </c>
      <c r="N26" s="71" t="str">
        <f>IF(Calculation_440!U164,Calculation_440!S138,"Not Applicable")</f>
        <v>Not Applicable</v>
      </c>
      <c r="O26" s="71" t="str">
        <f>IF(Calculation_440!U164,Calculation_440!U138,"Not Applicable")</f>
        <v>Not Applicable</v>
      </c>
      <c r="P26" s="71" t="str">
        <f>IF(Calculation_440!W164,Calculation_440!X138,"Not Applicable")</f>
        <v>Not Applicable</v>
      </c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</row>
    <row r="27" spans="1:27" ht="16.5" hidden="1" x14ac:dyDescent="0.15">
      <c r="A27" s="58"/>
      <c r="B27" s="58" t="e">
        <f>#REF!</f>
        <v>#REF!</v>
      </c>
      <c r="C27" s="70" t="str">
        <f>IF(Calculation_440!U105,Calculation_440!N79,"Not Applicable")</f>
        <v>Not Applicable</v>
      </c>
      <c r="D27" s="71" t="str">
        <f>IF(Calculation_440!U105,Calculation_440!R79,"Not Applicable")</f>
        <v>Not Applicable</v>
      </c>
      <c r="E27" s="71" t="str">
        <f>IF(Calculation_440!U105,Calculation_440!P79,"Not Applicable")</f>
        <v>Not Applicable</v>
      </c>
      <c r="F27" s="71" t="str">
        <f>IF(Calculation_440!U105,Calculation_440!Q79,"Not Applicable")</f>
        <v>Not Applicable</v>
      </c>
      <c r="G27" s="71" t="str">
        <f>IF(Calculation_440!U105,Calculation_440!S79,"Not Applicable")</f>
        <v>Not Applicable</v>
      </c>
      <c r="H27" s="71" t="str">
        <f>IF(Calculation_440!U105,Calculation_440!U79,"Not Applicable")</f>
        <v>Not Applicable</v>
      </c>
      <c r="I27" s="71" t="str">
        <f>IF(Calculation_440!W105,Calculation_440!X79,"Not Applicable")</f>
        <v>Not Applicable</v>
      </c>
      <c r="J27" s="70" t="e">
        <f>IF(Calculation_440!U165,Calculation_440!N139,"Not Applicable")</f>
        <v>#DIV/0!</v>
      </c>
      <c r="K27" s="71" t="e">
        <f>IF(Calculation_440!U165,Calculation_440!R139,"Not Applicable")</f>
        <v>#DIV/0!</v>
      </c>
      <c r="L27" s="71" t="e">
        <f>IF(Calculation_440!U165,Calculation_440!P139,"Not Applicable")</f>
        <v>#DIV/0!</v>
      </c>
      <c r="M27" s="71" t="e">
        <f>IF(Calculation_440!U165,Calculation_440!Q139,"Not Applicable")</f>
        <v>#DIV/0!</v>
      </c>
      <c r="N27" s="71" t="e">
        <f>IF(Calculation_440!U165,Calculation_440!S139,"Not Applicable")</f>
        <v>#DIV/0!</v>
      </c>
      <c r="O27" s="71" t="e">
        <f>IF(Calculation_440!U165,Calculation_440!U139,"Not Applicable")</f>
        <v>#DIV/0!</v>
      </c>
      <c r="P27" s="71" t="e">
        <f>IF(Calculation_440!W165,Calculation_440!X139,"Not Applicable")</f>
        <v>#DIV/0!</v>
      </c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</row>
    <row r="28" spans="1:27" ht="16.5" hidden="1" x14ac:dyDescent="0.15">
      <c r="A28" s="58"/>
      <c r="B28" s="58" t="e">
        <f>#REF!</f>
        <v>#REF!</v>
      </c>
      <c r="C28" s="70" t="str">
        <f>IF(Calculation_440!U106,Calculation_440!N80,"Not Applicable")</f>
        <v>Not Applicable</v>
      </c>
      <c r="D28" s="71" t="str">
        <f>IF(Calculation_440!U106,Calculation_440!R80,"Not Applicable")</f>
        <v>Not Applicable</v>
      </c>
      <c r="E28" s="71" t="str">
        <f>IF(Calculation_440!U106,Calculation_440!P80,"Not Applicable")</f>
        <v>Not Applicable</v>
      </c>
      <c r="F28" s="71" t="str">
        <f>IF(Calculation_440!U106,Calculation_440!Q80,"Not Applicable")</f>
        <v>Not Applicable</v>
      </c>
      <c r="G28" s="71" t="str">
        <f>IF(Calculation_440!U106,Calculation_440!S80,"Not Applicable")</f>
        <v>Not Applicable</v>
      </c>
      <c r="H28" s="71" t="str">
        <f>IF(Calculation_440!U106,Calculation_440!U80,"Not Applicable")</f>
        <v>Not Applicable</v>
      </c>
      <c r="I28" s="71" t="str">
        <f>IF(Calculation_440!W106,Calculation_440!X80,"Not Applicable")</f>
        <v>Not Applicable</v>
      </c>
      <c r="J28" s="70" t="e">
        <f>IF(Calculation_440!U166,Calculation_440!N140,"Not Applicable")</f>
        <v>#DIV/0!</v>
      </c>
      <c r="K28" s="71" t="e">
        <f>IF(Calculation_440!U166,Calculation_440!R140,"Not Applicable")</f>
        <v>#DIV/0!</v>
      </c>
      <c r="L28" s="71" t="e">
        <f>IF(Calculation_440!U166,Calculation_440!P140,"Not Applicable")</f>
        <v>#DIV/0!</v>
      </c>
      <c r="M28" s="71" t="e">
        <f>IF(Calculation_440!U166,Calculation_440!Q140,"Not Applicable")</f>
        <v>#DIV/0!</v>
      </c>
      <c r="N28" s="71" t="e">
        <f>IF(Calculation_440!U166,Calculation_440!S140,"Not Applicable")</f>
        <v>#DIV/0!</v>
      </c>
      <c r="O28" s="71" t="e">
        <f>IF(Calculation_440!U166,Calculation_440!U140,"Not Applicable")</f>
        <v>#DIV/0!</v>
      </c>
      <c r="P28" s="71" t="e">
        <f>IF(Calculation_440!W166,Calculation_440!X140,"Not Applicable")</f>
        <v>#DIV/0!</v>
      </c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</row>
    <row r="29" spans="1:27" ht="16.5" hidden="1" x14ac:dyDescent="0.15">
      <c r="A29" s="58"/>
      <c r="B29" s="58" t="e">
        <f>#REF!</f>
        <v>#REF!</v>
      </c>
      <c r="C29" s="70" t="str">
        <f>IF(Calculation_440!U107,Calculation_440!N81,"Not Applicable")</f>
        <v>Not Applicable</v>
      </c>
      <c r="D29" s="71" t="str">
        <f>IF(Calculation_440!U107,Calculation_440!R81,"Not Applicable")</f>
        <v>Not Applicable</v>
      </c>
      <c r="E29" s="71" t="str">
        <f>IF(Calculation_440!U107,Calculation_440!P81,"Not Applicable")</f>
        <v>Not Applicable</v>
      </c>
      <c r="F29" s="71" t="str">
        <f>IF(Calculation_440!U107,Calculation_440!Q81,"Not Applicable")</f>
        <v>Not Applicable</v>
      </c>
      <c r="G29" s="71" t="str">
        <f>IF(Calculation_440!U107,Calculation_440!S81,"Not Applicable")</f>
        <v>Not Applicable</v>
      </c>
      <c r="H29" s="71" t="str">
        <f>IF(Calculation_440!U107,Calculation_440!U81,"Not Applicable")</f>
        <v>Not Applicable</v>
      </c>
      <c r="I29" s="71" t="str">
        <f>IF(Calculation_440!W107,Calculation_440!X81,"Not Applicable")</f>
        <v>Not Applicable</v>
      </c>
      <c r="J29" s="70" t="e">
        <f>IF(Calculation_440!U167,Calculation_440!N141,"Not Applicable")</f>
        <v>#DIV/0!</v>
      </c>
      <c r="K29" s="71" t="e">
        <f>IF(Calculation_440!U167,Calculation_440!R141,"Not Applicable")</f>
        <v>#DIV/0!</v>
      </c>
      <c r="L29" s="71" t="e">
        <f>IF(Calculation_440!U167,Calculation_440!P141,"Not Applicable")</f>
        <v>#DIV/0!</v>
      </c>
      <c r="M29" s="71" t="e">
        <f>IF(Calculation_440!U167,Calculation_440!Q141,"Not Applicable")</f>
        <v>#DIV/0!</v>
      </c>
      <c r="N29" s="71" t="e">
        <f>IF(Calculation_440!U167,Calculation_440!S141,"Not Applicable")</f>
        <v>#DIV/0!</v>
      </c>
      <c r="O29" s="71" t="e">
        <f>IF(Calculation_440!U167,Calculation_440!U141,"Not Applicable")</f>
        <v>#DIV/0!</v>
      </c>
      <c r="P29" s="71" t="e">
        <f>IF(Calculation_440!W167,Calculation_440!X141,"Not Applicable")</f>
        <v>#DIV/0!</v>
      </c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</row>
    <row r="30" spans="1:27" ht="16.5" hidden="1" x14ac:dyDescent="0.15">
      <c r="A30" s="58"/>
      <c r="B30" s="58" t="e">
        <f>#REF!</f>
        <v>#REF!</v>
      </c>
      <c r="C30" s="70" t="str">
        <f>IF(Calculation_440!U108,Calculation_440!N82,"Not Applicable")</f>
        <v>Not Applicable</v>
      </c>
      <c r="D30" s="71" t="str">
        <f>IF(Calculation_440!U108,Calculation_440!R82,"Not Applicable")</f>
        <v>Not Applicable</v>
      </c>
      <c r="E30" s="71" t="str">
        <f>IF(Calculation_440!U108,Calculation_440!P82,"Not Applicable")</f>
        <v>Not Applicable</v>
      </c>
      <c r="F30" s="71" t="str">
        <f>IF(Calculation_440!U108,Calculation_440!Q82,"Not Applicable")</f>
        <v>Not Applicable</v>
      </c>
      <c r="G30" s="71" t="str">
        <f>IF(Calculation_440!U108,Calculation_440!S82,"Not Applicable")</f>
        <v>Not Applicable</v>
      </c>
      <c r="H30" s="71" t="str">
        <f>IF(Calculation_440!U108,Calculation_440!U82,"Not Applicable")</f>
        <v>Not Applicable</v>
      </c>
      <c r="I30" s="71" t="str">
        <f>IF(Calculation_440!W108,Calculation_440!X82,"Not Applicable")</f>
        <v>Not Applicable</v>
      </c>
      <c r="J30" s="70" t="e">
        <f>IF(Calculation_440!U168,Calculation_440!N142,"Not Applicable")</f>
        <v>#DIV/0!</v>
      </c>
      <c r="K30" s="71" t="e">
        <f>IF(Calculation_440!U168,Calculation_440!R142,"Not Applicable")</f>
        <v>#DIV/0!</v>
      </c>
      <c r="L30" s="71" t="e">
        <f>IF(Calculation_440!U168,Calculation_440!P142,"Not Applicable")</f>
        <v>#DIV/0!</v>
      </c>
      <c r="M30" s="71" t="e">
        <f>IF(Calculation_440!U168,Calculation_440!Q142,"Not Applicable")</f>
        <v>#DIV/0!</v>
      </c>
      <c r="N30" s="71" t="e">
        <f>IF(Calculation_440!U168,Calculation_440!S142,"Not Applicable")</f>
        <v>#DIV/0!</v>
      </c>
      <c r="O30" s="71" t="e">
        <f>IF(Calculation_440!U168,Calculation_440!U142,"Not Applicable")</f>
        <v>#DIV/0!</v>
      </c>
      <c r="P30" s="71" t="e">
        <f>IF(Calculation_440!W168,Calculation_440!X142,"Not Applicable")</f>
        <v>#DIV/0!</v>
      </c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</row>
    <row r="31" spans="1:27" ht="16.5" hidden="1" x14ac:dyDescent="0.15">
      <c r="A31" s="58"/>
      <c r="B31" s="58" t="e">
        <f>#REF!</f>
        <v>#REF!</v>
      </c>
      <c r="C31" s="70" t="str">
        <f>IF(Calculation_440!U109,Calculation_440!N83,"Not Applicable")</f>
        <v>Not Applicable</v>
      </c>
      <c r="D31" s="71" t="str">
        <f>IF(Calculation_440!U109,Calculation_440!R83,"Not Applicable")</f>
        <v>Not Applicable</v>
      </c>
      <c r="E31" s="71" t="str">
        <f>IF(Calculation_440!U109,Calculation_440!P83,"Not Applicable")</f>
        <v>Not Applicable</v>
      </c>
      <c r="F31" s="71" t="str">
        <f>IF(Calculation_440!U109,Calculation_440!Q83,"Not Applicable")</f>
        <v>Not Applicable</v>
      </c>
      <c r="G31" s="71" t="str">
        <f>IF(Calculation_440!U109,Calculation_440!S83,"Not Applicable")</f>
        <v>Not Applicable</v>
      </c>
      <c r="H31" s="71" t="str">
        <f>IF(Calculation_440!U109,Calculation_440!U83,"Not Applicable")</f>
        <v>Not Applicable</v>
      </c>
      <c r="I31" s="71" t="str">
        <f>IF(Calculation_440!W109,Calculation_440!X83,"Not Applicable")</f>
        <v>Not Applicable</v>
      </c>
      <c r="J31" s="70" t="e">
        <f>IF(Calculation_440!U169,Calculation_440!N143,"Not Applicable")</f>
        <v>#DIV/0!</v>
      </c>
      <c r="K31" s="71" t="e">
        <f>IF(Calculation_440!U169,Calculation_440!R143,"Not Applicable")</f>
        <v>#DIV/0!</v>
      </c>
      <c r="L31" s="71" t="e">
        <f>IF(Calculation_440!U169,Calculation_440!P143,"Not Applicable")</f>
        <v>#DIV/0!</v>
      </c>
      <c r="M31" s="71" t="e">
        <f>IF(Calculation_440!U169,Calculation_440!Q143,"Not Applicable")</f>
        <v>#DIV/0!</v>
      </c>
      <c r="N31" s="71" t="e">
        <f>IF(Calculation_440!U169,Calculation_440!S143,"Not Applicable")</f>
        <v>#DIV/0!</v>
      </c>
      <c r="O31" s="71" t="e">
        <f>IF(Calculation_440!U169,Calculation_440!U143,"Not Applicable")</f>
        <v>#DIV/0!</v>
      </c>
      <c r="P31" s="71" t="e">
        <f>IF(Calculation_440!W169,Calculation_440!X143,"Not Applicable")</f>
        <v>#DIV/0!</v>
      </c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</row>
    <row r="32" spans="1:27" ht="16.5" hidden="1" x14ac:dyDescent="0.15">
      <c r="A32" s="58"/>
      <c r="B32" s="58" t="e">
        <f>#REF!</f>
        <v>#REF!</v>
      </c>
      <c r="C32" s="70" t="str">
        <f>IF(Calculation_440!U110,Calculation_440!N84,"Not Applicable")</f>
        <v>Not Applicable</v>
      </c>
      <c r="D32" s="71" t="str">
        <f>IF(Calculation_440!U110,Calculation_440!R84,"Not Applicable")</f>
        <v>Not Applicable</v>
      </c>
      <c r="E32" s="71" t="str">
        <f>IF(Calculation_440!U110,Calculation_440!P84,"Not Applicable")</f>
        <v>Not Applicable</v>
      </c>
      <c r="F32" s="71" t="str">
        <f>IF(Calculation_440!U110,Calculation_440!Q84,"Not Applicable")</f>
        <v>Not Applicable</v>
      </c>
      <c r="G32" s="71" t="str">
        <f>IF(Calculation_440!U110,Calculation_440!S84,"Not Applicable")</f>
        <v>Not Applicable</v>
      </c>
      <c r="H32" s="71" t="str">
        <f>IF(Calculation_440!U110,Calculation_440!U84,"Not Applicable")</f>
        <v>Not Applicable</v>
      </c>
      <c r="I32" s="71" t="str">
        <f>IF(Calculation_440!W110,Calculation_440!X84,"Not Applicable")</f>
        <v>Not Applicable</v>
      </c>
      <c r="J32" s="70" t="e">
        <f>IF(Calculation_440!U170,Calculation_440!N144,"Not Applicable")</f>
        <v>#DIV/0!</v>
      </c>
      <c r="K32" s="71" t="e">
        <f>IF(Calculation_440!U170,Calculation_440!R144,"Not Applicable")</f>
        <v>#DIV/0!</v>
      </c>
      <c r="L32" s="71" t="e">
        <f>IF(Calculation_440!U170,Calculation_440!P144,"Not Applicable")</f>
        <v>#DIV/0!</v>
      </c>
      <c r="M32" s="71" t="e">
        <f>IF(Calculation_440!U170,Calculation_440!Q144,"Not Applicable")</f>
        <v>#DIV/0!</v>
      </c>
      <c r="N32" s="71" t="e">
        <f>IF(Calculation_440!U170,Calculation_440!S144,"Not Applicable")</f>
        <v>#DIV/0!</v>
      </c>
      <c r="O32" s="71" t="e">
        <f>IF(Calculation_440!U170,Calculation_440!U144,"Not Applicable")</f>
        <v>#DIV/0!</v>
      </c>
      <c r="P32" s="71" t="e">
        <f>IF(Calculation_440!W170,Calculation_440!X144,"Not Applicable")</f>
        <v>#DIV/0!</v>
      </c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</row>
    <row r="33" spans="1:32" ht="16.5" hidden="1" x14ac:dyDescent="0.15">
      <c r="A33" s="58"/>
      <c r="B33" s="58" t="e">
        <f>#REF!</f>
        <v>#REF!</v>
      </c>
      <c r="C33" s="70" t="str">
        <f>IF(Calculation_440!U111,Calculation_440!N85,"Not Applicable")</f>
        <v>Not Applicable</v>
      </c>
      <c r="D33" s="71" t="str">
        <f>IF(Calculation_440!U111,Calculation_440!R85,"Not Applicable")</f>
        <v>Not Applicable</v>
      </c>
      <c r="E33" s="71" t="str">
        <f>IF(Calculation_440!U111,Calculation_440!P85,"Not Applicable")</f>
        <v>Not Applicable</v>
      </c>
      <c r="F33" s="71" t="str">
        <f>IF(Calculation_440!U111,Calculation_440!Q85,"Not Applicable")</f>
        <v>Not Applicable</v>
      </c>
      <c r="G33" s="71" t="str">
        <f>IF(Calculation_440!U111,Calculation_440!S85,"Not Applicable")</f>
        <v>Not Applicable</v>
      </c>
      <c r="H33" s="71" t="str">
        <f>IF(Calculation_440!U111,Calculation_440!U85,"Not Applicable")</f>
        <v>Not Applicable</v>
      </c>
      <c r="I33" s="71" t="str">
        <f>IF(Calculation_440!W111,Calculation_440!X85,"Not Applicable")</f>
        <v>Not Applicable</v>
      </c>
      <c r="J33" s="70" t="e">
        <f>IF(Calculation_440!U171,Calculation_440!N145,"Not Applicable")</f>
        <v>#DIV/0!</v>
      </c>
      <c r="K33" s="71" t="e">
        <f>IF(Calculation_440!U171,Calculation_440!R145,"Not Applicable")</f>
        <v>#DIV/0!</v>
      </c>
      <c r="L33" s="71" t="e">
        <f>IF(Calculation_440!U171,Calculation_440!P145,"Not Applicable")</f>
        <v>#DIV/0!</v>
      </c>
      <c r="M33" s="71" t="e">
        <f>IF(Calculation_440!U171,Calculation_440!Q145,"Not Applicable")</f>
        <v>#DIV/0!</v>
      </c>
      <c r="N33" s="71" t="e">
        <f>IF(Calculation_440!U171,Calculation_440!S145,"Not Applicable")</f>
        <v>#DIV/0!</v>
      </c>
      <c r="O33" s="71" t="e">
        <f>IF(Calculation_440!U171,Calculation_440!U145,"Not Applicable")</f>
        <v>#DIV/0!</v>
      </c>
      <c r="P33" s="71" t="e">
        <f>IF(Calculation_440!W171,Calculation_440!X145,"Not Applicable")</f>
        <v>#DIV/0!</v>
      </c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</row>
    <row r="34" spans="1:32" ht="16.5" hidden="1" x14ac:dyDescent="0.15">
      <c r="A34" s="58"/>
      <c r="B34" s="58" t="e">
        <f>#REF!</f>
        <v>#REF!</v>
      </c>
      <c r="C34" s="70" t="str">
        <f>IF(Calculation_440!U112,Calculation_440!N86,"Not Applicable")</f>
        <v>Not Applicable</v>
      </c>
      <c r="D34" s="71" t="str">
        <f>IF(Calculation_440!U112,Calculation_440!R86,"Not Applicable")</f>
        <v>Not Applicable</v>
      </c>
      <c r="E34" s="71" t="str">
        <f>IF(Calculation_440!U112,Calculation_440!P86,"Not Applicable")</f>
        <v>Not Applicable</v>
      </c>
      <c r="F34" s="71" t="str">
        <f>IF(Calculation_440!U112,Calculation_440!Q86,"Not Applicable")</f>
        <v>Not Applicable</v>
      </c>
      <c r="G34" s="71" t="str">
        <f>IF(Calculation_440!U112,Calculation_440!S86,"Not Applicable")</f>
        <v>Not Applicable</v>
      </c>
      <c r="H34" s="71" t="str">
        <f>IF(Calculation_440!U112,Calculation_440!U86,"Not Applicable")</f>
        <v>Not Applicable</v>
      </c>
      <c r="I34" s="71" t="str">
        <f>IF(Calculation_440!W112,Calculation_440!X86,"Not Applicable")</f>
        <v>Not Applicable</v>
      </c>
      <c r="J34" s="70" t="e">
        <f>IF(Calculation_440!U172,Calculation_440!N146,"Not Applicable")</f>
        <v>#DIV/0!</v>
      </c>
      <c r="K34" s="71" t="e">
        <f>IF(Calculation_440!U172,Calculation_440!R146,"Not Applicable")</f>
        <v>#DIV/0!</v>
      </c>
      <c r="L34" s="71" t="e">
        <f>IF(Calculation_440!U172,Calculation_440!P146,"Not Applicable")</f>
        <v>#DIV/0!</v>
      </c>
      <c r="M34" s="71" t="e">
        <f>IF(Calculation_440!U172,Calculation_440!Q146,"Not Applicable")</f>
        <v>#DIV/0!</v>
      </c>
      <c r="N34" s="71" t="e">
        <f>IF(Calculation_440!U172,Calculation_440!S146,"Not Applicable")</f>
        <v>#DIV/0!</v>
      </c>
      <c r="O34" s="71" t="e">
        <f>IF(Calculation_440!U172,Calculation_440!U146,"Not Applicable")</f>
        <v>#DIV/0!</v>
      </c>
      <c r="P34" s="71" t="e">
        <f>IF(Calculation_440!W172,Calculation_440!X146,"Not Applicable")</f>
        <v>#DIV/0!</v>
      </c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</row>
    <row r="35" spans="1:32" ht="16.5" hidden="1" x14ac:dyDescent="0.15">
      <c r="A35" s="58"/>
      <c r="B35" s="58" t="e">
        <f>#REF!</f>
        <v>#REF!</v>
      </c>
      <c r="C35" s="70" t="str">
        <f>IF(Calculation_440!U113,Calculation_440!N87,"Not Applicable")</f>
        <v>Not Applicable</v>
      </c>
      <c r="D35" s="71" t="str">
        <f>IF(Calculation_440!U113,Calculation_440!R87,"Not Applicable")</f>
        <v>Not Applicable</v>
      </c>
      <c r="E35" s="71" t="str">
        <f>IF(Calculation_440!U113,Calculation_440!P87,"Not Applicable")</f>
        <v>Not Applicable</v>
      </c>
      <c r="F35" s="71" t="str">
        <f>IF(Calculation_440!U113,Calculation_440!Q87,"Not Applicable")</f>
        <v>Not Applicable</v>
      </c>
      <c r="G35" s="71" t="str">
        <f>IF(Calculation_440!U113,Calculation_440!S87,"Not Applicable")</f>
        <v>Not Applicable</v>
      </c>
      <c r="H35" s="71" t="str">
        <f>IF(Calculation_440!U113,Calculation_440!U87,"Not Applicable")</f>
        <v>Not Applicable</v>
      </c>
      <c r="I35" s="71" t="str">
        <f>IF(Calculation_440!W113,Calculation_440!X87,"Not Applicable")</f>
        <v>Not Applicable</v>
      </c>
      <c r="J35" s="70" t="e">
        <f>IF(Calculation_440!U173,Calculation_440!N147,"Not Applicable")</f>
        <v>#DIV/0!</v>
      </c>
      <c r="K35" s="71" t="e">
        <f>IF(Calculation_440!U173,Calculation_440!R147,"Not Applicable")</f>
        <v>#DIV/0!</v>
      </c>
      <c r="L35" s="71" t="e">
        <f>IF(Calculation_440!U173,Calculation_440!P147,"Not Applicable")</f>
        <v>#DIV/0!</v>
      </c>
      <c r="M35" s="71" t="e">
        <f>IF(Calculation_440!U173,Calculation_440!Q147,"Not Applicable")</f>
        <v>#DIV/0!</v>
      </c>
      <c r="N35" s="71" t="e">
        <f>IF(Calculation_440!U173,Calculation_440!S147,"Not Applicable")</f>
        <v>#DIV/0!</v>
      </c>
      <c r="O35" s="71" t="e">
        <f>IF(Calculation_440!U173,Calculation_440!U147,"Not Applicable")</f>
        <v>#DIV/0!</v>
      </c>
      <c r="P35" s="71" t="e">
        <f>IF(Calculation_440!W173,Calculation_440!X147,"Not Applicable")</f>
        <v>#DIV/0!</v>
      </c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</row>
    <row r="36" spans="1:32" ht="16.5" hidden="1" x14ac:dyDescent="0.15">
      <c r="A36" s="58"/>
      <c r="B36" s="58" t="e">
        <f>#REF!</f>
        <v>#REF!</v>
      </c>
      <c r="C36" s="70" t="str">
        <f>IF(Calculation_440!U114,Calculation_440!N88,"Not Applicable")</f>
        <v>Not Applicable</v>
      </c>
      <c r="D36" s="71" t="str">
        <f>IF(Calculation_440!U114,Calculation_440!R88,"Not Applicable")</f>
        <v>Not Applicable</v>
      </c>
      <c r="E36" s="71" t="str">
        <f>IF(Calculation_440!U114,Calculation_440!P88,"Not Applicable")</f>
        <v>Not Applicable</v>
      </c>
      <c r="F36" s="71" t="str">
        <f>IF(Calculation_440!U114,Calculation_440!Q88,"Not Applicable")</f>
        <v>Not Applicable</v>
      </c>
      <c r="G36" s="71" t="str">
        <f>IF(Calculation_440!U114,Calculation_440!S88,"Not Applicable")</f>
        <v>Not Applicable</v>
      </c>
      <c r="H36" s="71" t="str">
        <f>IF(Calculation_440!U114,Calculation_440!U88,"Not Applicable")</f>
        <v>Not Applicable</v>
      </c>
      <c r="I36" s="71" t="str">
        <f>IF(Calculation_440!W114,Calculation_440!X88,"Not Applicable")</f>
        <v>Not Applicable</v>
      </c>
      <c r="J36" s="70" t="e">
        <f>IF(Calculation_440!U174,Calculation_440!N148,"Not Applicable")</f>
        <v>#DIV/0!</v>
      </c>
      <c r="K36" s="71" t="e">
        <f>IF(Calculation_440!U174,Calculation_440!R148,"Not Applicable")</f>
        <v>#DIV/0!</v>
      </c>
      <c r="L36" s="71" t="e">
        <f>IF(Calculation_440!U174,Calculation_440!P148,"Not Applicable")</f>
        <v>#DIV/0!</v>
      </c>
      <c r="M36" s="71" t="e">
        <f>IF(Calculation_440!U174,Calculation_440!Q148,"Not Applicable")</f>
        <v>#DIV/0!</v>
      </c>
      <c r="N36" s="71" t="e">
        <f>IF(Calculation_440!U174,Calculation_440!S148,"Not Applicable")</f>
        <v>#DIV/0!</v>
      </c>
      <c r="O36" s="71" t="e">
        <f>IF(Calculation_440!U174,Calculation_440!U148,"Not Applicable")</f>
        <v>#DIV/0!</v>
      </c>
      <c r="P36" s="71" t="e">
        <f>IF(Calculation_440!W174,Calculation_440!X148,"Not Applicable")</f>
        <v>#DIV/0!</v>
      </c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</row>
    <row r="37" spans="1:32" ht="16.5" hidden="1" x14ac:dyDescent="0.15">
      <c r="A37" s="58"/>
      <c r="B37" s="58" t="e">
        <f>#REF!</f>
        <v>#REF!</v>
      </c>
      <c r="C37" s="70" t="str">
        <f>IF(Calculation_440!U115,Calculation_440!N89,"Not Applicable")</f>
        <v>Not Applicable</v>
      </c>
      <c r="D37" s="71" t="str">
        <f>IF(Calculation_440!U115,Calculation_440!R89,"Not Applicable")</f>
        <v>Not Applicable</v>
      </c>
      <c r="E37" s="71" t="str">
        <f>IF(Calculation_440!U115,Calculation_440!P89,"Not Applicable")</f>
        <v>Not Applicable</v>
      </c>
      <c r="F37" s="71" t="str">
        <f>IF(Calculation_440!U115,Calculation_440!Q89,"Not Applicable")</f>
        <v>Not Applicable</v>
      </c>
      <c r="G37" s="71" t="str">
        <f>IF(Calculation_440!U115,Calculation_440!S89,"Not Applicable")</f>
        <v>Not Applicable</v>
      </c>
      <c r="H37" s="71" t="str">
        <f>IF(Calculation_440!U115,Calculation_440!U89,"Not Applicable")</f>
        <v>Not Applicable</v>
      </c>
      <c r="I37" s="71" t="str">
        <f>IF(Calculation_440!W115,Calculation_440!X89,"Not Applicable")</f>
        <v>Not Applicable</v>
      </c>
      <c r="J37" s="70" t="e">
        <f>IF(Calculation_440!U175,Calculation_440!N149,"Not Applicable")</f>
        <v>#DIV/0!</v>
      </c>
      <c r="K37" s="71" t="e">
        <f>IF(Calculation_440!U175,Calculation_440!R149,"Not Applicable")</f>
        <v>#DIV/0!</v>
      </c>
      <c r="L37" s="71" t="e">
        <f>IF(Calculation_440!U175,Calculation_440!P149,"Not Applicable")</f>
        <v>#DIV/0!</v>
      </c>
      <c r="M37" s="71" t="e">
        <f>IF(Calculation_440!U175,Calculation_440!Q149,"Not Applicable")</f>
        <v>#DIV/0!</v>
      </c>
      <c r="N37" s="71" t="e">
        <f>IF(Calculation_440!U175,Calculation_440!S149,"Not Applicable")</f>
        <v>#DIV/0!</v>
      </c>
      <c r="O37" s="71" t="e">
        <f>IF(Calculation_440!U175,Calculation_440!U149,"Not Applicable")</f>
        <v>#DIV/0!</v>
      </c>
      <c r="P37" s="71" t="e">
        <f>IF(Calculation_440!W175,Calculation_440!X149,"Not Applicable")</f>
        <v>#DIV/0!</v>
      </c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</row>
    <row r="38" spans="1:32" ht="16.5" hidden="1" x14ac:dyDescent="0.15">
      <c r="A38" s="58"/>
      <c r="B38" s="58" t="e">
        <f>#REF!</f>
        <v>#REF!</v>
      </c>
      <c r="C38" s="70" t="str">
        <f>IF(Calculation_440!U116,Calculation_440!N90,"Not Applicable")</f>
        <v>Not Applicable</v>
      </c>
      <c r="D38" s="71" t="str">
        <f>IF(Calculation_440!U116,Calculation_440!R90,"Not Applicable")</f>
        <v>Not Applicable</v>
      </c>
      <c r="E38" s="71" t="str">
        <f>IF(Calculation_440!U116,Calculation_440!P90,"Not Applicable")</f>
        <v>Not Applicable</v>
      </c>
      <c r="F38" s="71" t="str">
        <f>IF(Calculation_440!U116,Calculation_440!Q90,"Not Applicable")</f>
        <v>Not Applicable</v>
      </c>
      <c r="G38" s="71" t="str">
        <f>IF(Calculation_440!U116,Calculation_440!S90,"Not Applicable")</f>
        <v>Not Applicable</v>
      </c>
      <c r="H38" s="71" t="str">
        <f>IF(Calculation_440!U116,Calculation_440!U90,"Not Applicable")</f>
        <v>Not Applicable</v>
      </c>
      <c r="I38" s="71" t="str">
        <f>IF(Calculation_440!W116,Calculation_440!X90,"Not Applicable")</f>
        <v>Not Applicable</v>
      </c>
      <c r="J38" s="70" t="e">
        <f>IF(Calculation_440!U176,Calculation_440!N150,"Not Applicable")</f>
        <v>#DIV/0!</v>
      </c>
      <c r="K38" s="71" t="e">
        <f>IF(Calculation_440!U176,Calculation_440!R150,"Not Applicable")</f>
        <v>#DIV/0!</v>
      </c>
      <c r="L38" s="71" t="e">
        <f>IF(Calculation_440!U176,Calculation_440!P150,"Not Applicable")</f>
        <v>#DIV/0!</v>
      </c>
      <c r="M38" s="71" t="e">
        <f>IF(Calculation_440!U176,Calculation_440!Q150,"Not Applicable")</f>
        <v>#DIV/0!</v>
      </c>
      <c r="N38" s="71" t="e">
        <f>IF(Calculation_440!U176,Calculation_440!S150,"Not Applicable")</f>
        <v>#DIV/0!</v>
      </c>
      <c r="O38" s="71" t="e">
        <f>IF(Calculation_440!U176,Calculation_440!U150,"Not Applicable")</f>
        <v>#DIV/0!</v>
      </c>
      <c r="P38" s="71" t="e">
        <f>IF(Calculation_440!W176,Calculation_440!X150,"Not Applicable")</f>
        <v>#DIV/0!</v>
      </c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</row>
    <row r="39" spans="1:32" ht="16.5" hidden="1" x14ac:dyDescent="0.1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U39" s="58"/>
      <c r="V39" s="58"/>
      <c r="W39" s="58"/>
    </row>
    <row r="40" spans="1:32" ht="16.5" hidden="1" x14ac:dyDescent="0.15">
      <c r="A40" s="58"/>
      <c r="B40" s="66" t="s">
        <v>36</v>
      </c>
      <c r="C40" s="66"/>
      <c r="D40" s="66"/>
      <c r="E40" s="58"/>
      <c r="F40" s="58"/>
      <c r="G40" s="58"/>
      <c r="H40" s="58"/>
      <c r="I40" s="58"/>
      <c r="J40" s="58"/>
      <c r="L40" s="58" t="s">
        <v>131</v>
      </c>
      <c r="M40" s="58"/>
      <c r="N40" s="58"/>
      <c r="O40" s="58"/>
      <c r="P40" s="58"/>
      <c r="Q40" s="58"/>
      <c r="R40" s="58"/>
      <c r="U40" s="58"/>
      <c r="V40" s="58"/>
      <c r="W40" s="58"/>
    </row>
    <row r="41" spans="1:32" ht="16.5" hidden="1" x14ac:dyDescent="0.15">
      <c r="A41" s="58"/>
      <c r="B41" s="66" t="s">
        <v>37</v>
      </c>
      <c r="C41" s="66" t="s">
        <v>38</v>
      </c>
      <c r="D41" s="66" t="s">
        <v>39</v>
      </c>
      <c r="E41" s="66"/>
      <c r="F41" s="58"/>
      <c r="G41" s="58"/>
      <c r="H41" s="58"/>
      <c r="I41" s="58"/>
      <c r="L41" s="72">
        <v>1</v>
      </c>
      <c r="M41" s="72">
        <v>2</v>
      </c>
      <c r="N41" s="135"/>
      <c r="O41" s="135"/>
      <c r="P41" s="73">
        <v>3</v>
      </c>
      <c r="Q41" s="73">
        <v>4</v>
      </c>
      <c r="R41" s="73">
        <v>5</v>
      </c>
      <c r="S41" s="73">
        <v>6</v>
      </c>
      <c r="T41" s="73">
        <v>7</v>
      </c>
      <c r="U41" s="73">
        <v>8</v>
      </c>
      <c r="V41" s="74">
        <v>9</v>
      </c>
      <c r="W41" s="74">
        <v>10</v>
      </c>
      <c r="X41" s="74">
        <v>11</v>
      </c>
      <c r="Y41" s="74">
        <v>12</v>
      </c>
      <c r="Z41" s="75">
        <v>13</v>
      </c>
      <c r="AA41" s="75">
        <v>14</v>
      </c>
      <c r="AB41" s="139"/>
      <c r="AC41" s="139"/>
      <c r="AD41" s="139"/>
      <c r="AE41" s="139"/>
      <c r="AF41" s="139"/>
    </row>
    <row r="42" spans="1:32" ht="16.5" hidden="1" x14ac:dyDescent="0.15">
      <c r="A42" s="58"/>
      <c r="B42" s="66"/>
      <c r="C42" s="66">
        <v>5</v>
      </c>
      <c r="D42" s="66">
        <v>225</v>
      </c>
      <c r="E42" s="66"/>
      <c r="F42" s="58"/>
      <c r="G42" s="58"/>
      <c r="H42" s="58"/>
      <c r="I42" s="58"/>
      <c r="J42" s="51" t="s">
        <v>113</v>
      </c>
      <c r="K42" s="51"/>
      <c r="L42" s="72" t="str">
        <f t="shared" ref="L42:O42" si="6">L59</f>
        <v>5000K,70Min</v>
      </c>
      <c r="M42" s="72" t="str">
        <f t="shared" si="6"/>
        <v>4000K,70Min</v>
      </c>
      <c r="N42" s="135" t="e">
        <f t="shared" si="6"/>
        <v>#REF!</v>
      </c>
      <c r="O42" s="135" t="e">
        <f t="shared" si="6"/>
        <v>#REF!</v>
      </c>
      <c r="P42" s="73" t="str">
        <f t="shared" ref="P42:AF42" si="7">P59</f>
        <v>5700K,80Min</v>
      </c>
      <c r="Q42" s="73" t="str">
        <f t="shared" si="7"/>
        <v>5000K,80Min</v>
      </c>
      <c r="R42" s="73" t="str">
        <f t="shared" si="7"/>
        <v>4000K,80Min</v>
      </c>
      <c r="S42" s="73" t="str">
        <f t="shared" si="7"/>
        <v>3500K,80Min</v>
      </c>
      <c r="T42" s="73" t="str">
        <f t="shared" si="7"/>
        <v>3000K,80Min</v>
      </c>
      <c r="U42" s="73" t="str">
        <f t="shared" si="7"/>
        <v>2700K,80Min</v>
      </c>
      <c r="V42" s="74" t="str">
        <f t="shared" si="7"/>
        <v>5700K,90Min On BBL</v>
      </c>
      <c r="W42" s="74" t="str">
        <f t="shared" si="7"/>
        <v>5000K,90Min On BBL</v>
      </c>
      <c r="X42" s="74" t="str">
        <f t="shared" si="7"/>
        <v>4000K,90Min On BBL</v>
      </c>
      <c r="Y42" s="74" t="str">
        <f t="shared" si="7"/>
        <v>3500K,90Min On BBL</v>
      </c>
      <c r="Z42" s="74" t="str">
        <f t="shared" si="7"/>
        <v>3000K,90Min On BBL</v>
      </c>
      <c r="AA42" s="74" t="str">
        <f t="shared" si="7"/>
        <v>2700K,90Min On BBL</v>
      </c>
      <c r="AB42" s="135" t="e">
        <f t="shared" si="7"/>
        <v>#REF!</v>
      </c>
      <c r="AC42" s="135" t="e">
        <f t="shared" si="7"/>
        <v>#REF!</v>
      </c>
      <c r="AD42" s="140" t="e">
        <f t="shared" si="7"/>
        <v>#REF!</v>
      </c>
      <c r="AE42" s="140" t="e">
        <f t="shared" si="7"/>
        <v>#REF!</v>
      </c>
      <c r="AF42" s="140" t="e">
        <f t="shared" si="7"/>
        <v>#REF!</v>
      </c>
    </row>
    <row r="43" spans="1:32" ht="16.5" hidden="1" x14ac:dyDescent="0.15">
      <c r="A43" s="58"/>
      <c r="B43" s="66" t="s">
        <v>134</v>
      </c>
      <c r="C43" s="66" t="s">
        <v>39</v>
      </c>
      <c r="D43" s="66" t="s">
        <v>38</v>
      </c>
      <c r="E43" s="58"/>
      <c r="F43" s="58"/>
      <c r="G43" s="58"/>
      <c r="H43" s="58"/>
      <c r="I43" s="76"/>
      <c r="J43" s="134" t="s">
        <v>129</v>
      </c>
      <c r="K43" s="52">
        <f>Tsスペック算出!K7</f>
        <v>0.94889055975530534</v>
      </c>
      <c r="L43" s="77">
        <v>1025</v>
      </c>
      <c r="M43" s="77">
        <v>1009</v>
      </c>
      <c r="N43" s="136"/>
      <c r="O43" s="136"/>
      <c r="P43" s="77">
        <v>940</v>
      </c>
      <c r="Q43" s="78">
        <v>920</v>
      </c>
      <c r="R43" s="78">
        <v>900</v>
      </c>
      <c r="S43" s="78">
        <v>895</v>
      </c>
      <c r="T43" s="78">
        <v>875</v>
      </c>
      <c r="U43" s="78">
        <v>840</v>
      </c>
      <c r="V43" s="77">
        <v>755</v>
      </c>
      <c r="W43" s="79">
        <v>735</v>
      </c>
      <c r="X43" s="79">
        <v>730</v>
      </c>
      <c r="Y43" s="79">
        <v>725</v>
      </c>
      <c r="Z43" s="79">
        <v>715</v>
      </c>
      <c r="AA43" s="77">
        <v>675</v>
      </c>
      <c r="AB43" s="136"/>
      <c r="AC43" s="136"/>
      <c r="AD43" s="136"/>
      <c r="AE43" s="136"/>
      <c r="AF43" s="136"/>
    </row>
    <row r="44" spans="1:32" ht="16.5" hidden="1" x14ac:dyDescent="0.4">
      <c r="A44" s="58"/>
      <c r="B44" s="66"/>
      <c r="C44" s="66">
        <v>105</v>
      </c>
      <c r="D44" s="66">
        <v>-30</v>
      </c>
      <c r="E44" s="58"/>
      <c r="F44" s="58"/>
      <c r="G44" s="58"/>
      <c r="H44" s="58"/>
      <c r="I44" s="76"/>
      <c r="J44" s="53" t="s">
        <v>130</v>
      </c>
      <c r="K44" s="52"/>
      <c r="L44" s="77">
        <v>630</v>
      </c>
      <c r="M44" s="77">
        <v>620</v>
      </c>
      <c r="N44" s="136"/>
      <c r="O44" s="136"/>
      <c r="P44" s="77">
        <v>585</v>
      </c>
      <c r="Q44" s="78">
        <v>575</v>
      </c>
      <c r="R44" s="78">
        <v>570</v>
      </c>
      <c r="S44" s="78">
        <v>565</v>
      </c>
      <c r="T44" s="78">
        <v>545</v>
      </c>
      <c r="U44" s="78">
        <v>535</v>
      </c>
      <c r="V44" s="77">
        <v>510</v>
      </c>
      <c r="W44" s="79">
        <v>500</v>
      </c>
      <c r="X44" s="79">
        <v>495</v>
      </c>
      <c r="Y44" s="79">
        <v>465</v>
      </c>
      <c r="Z44" s="79">
        <v>455</v>
      </c>
      <c r="AA44" s="77">
        <v>430</v>
      </c>
      <c r="AB44" s="136"/>
      <c r="AC44" s="136"/>
      <c r="AD44" s="141"/>
      <c r="AE44" s="141"/>
      <c r="AF44" s="141"/>
    </row>
    <row r="45" spans="1:32" ht="16.5" hidden="1" x14ac:dyDescent="0.4">
      <c r="A45" s="58"/>
      <c r="B45" s="66" t="s">
        <v>40</v>
      </c>
      <c r="C45" s="66" t="s">
        <v>39</v>
      </c>
      <c r="D45" s="66" t="s">
        <v>38</v>
      </c>
      <c r="E45" s="58"/>
      <c r="F45" s="58"/>
      <c r="G45" s="58"/>
      <c r="H45" s="58"/>
      <c r="I45" s="76"/>
      <c r="J45" s="53"/>
      <c r="K45" s="52"/>
      <c r="L45" s="78"/>
      <c r="M45" s="78"/>
      <c r="N45" s="136"/>
      <c r="O45" s="136"/>
      <c r="P45" s="77"/>
      <c r="Q45" s="78"/>
      <c r="R45" s="78"/>
      <c r="S45" s="78"/>
      <c r="T45" s="78"/>
      <c r="U45" s="78"/>
      <c r="V45" s="77"/>
      <c r="W45" s="79"/>
      <c r="X45" s="79"/>
      <c r="Y45" s="79"/>
      <c r="Z45" s="79"/>
      <c r="AA45" s="77"/>
      <c r="AB45" s="136"/>
      <c r="AC45" s="136"/>
      <c r="AD45" s="141"/>
      <c r="AE45" s="141"/>
      <c r="AF45" s="141"/>
    </row>
    <row r="46" spans="1:32" ht="16.5" hidden="1" x14ac:dyDescent="0.4">
      <c r="A46" s="58"/>
      <c r="B46" s="66"/>
      <c r="C46" s="66">
        <v>140</v>
      </c>
      <c r="D46" s="66">
        <v>-25</v>
      </c>
      <c r="E46" s="58"/>
      <c r="F46" s="58"/>
      <c r="G46" s="58"/>
      <c r="H46" s="58"/>
      <c r="I46" s="76"/>
      <c r="J46" s="53"/>
      <c r="K46" s="52"/>
      <c r="L46" s="78"/>
      <c r="M46" s="78"/>
      <c r="N46" s="136"/>
      <c r="O46" s="136"/>
      <c r="P46" s="77"/>
      <c r="Q46" s="78"/>
      <c r="R46" s="78"/>
      <c r="S46" s="78"/>
      <c r="T46" s="78"/>
      <c r="U46" s="78"/>
      <c r="V46" s="77"/>
      <c r="W46" s="79"/>
      <c r="X46" s="79"/>
      <c r="Y46" s="79"/>
      <c r="Z46" s="79"/>
      <c r="AA46" s="137"/>
      <c r="AB46" s="142"/>
      <c r="AC46" s="142"/>
      <c r="AD46" s="141"/>
      <c r="AE46" s="141"/>
      <c r="AF46" s="141"/>
    </row>
    <row r="47" spans="1:32" ht="16.5" hidden="1" x14ac:dyDescent="0.4">
      <c r="A47" s="58"/>
      <c r="B47" s="58"/>
      <c r="C47" s="58"/>
      <c r="D47" s="58"/>
      <c r="E47" s="58"/>
      <c r="F47" s="58"/>
      <c r="G47" s="58"/>
      <c r="H47" s="58"/>
      <c r="I47" s="76"/>
      <c r="J47" s="53"/>
      <c r="K47" s="52"/>
      <c r="L47" s="78"/>
      <c r="M47" s="78"/>
      <c r="N47" s="136"/>
      <c r="O47" s="136"/>
      <c r="P47" s="77"/>
      <c r="Q47" s="78"/>
      <c r="R47" s="78"/>
      <c r="S47" s="78"/>
      <c r="T47" s="78"/>
      <c r="U47" s="78"/>
      <c r="V47" s="77"/>
      <c r="W47" s="79"/>
      <c r="X47" s="79"/>
      <c r="Y47" s="79"/>
      <c r="Z47" s="79"/>
      <c r="AA47" s="80"/>
      <c r="AB47" s="143"/>
      <c r="AC47" s="143"/>
      <c r="AD47" s="141"/>
      <c r="AE47" s="141"/>
      <c r="AF47" s="141"/>
    </row>
    <row r="48" spans="1:32" ht="14.25" hidden="1" customHeight="1" x14ac:dyDescent="0.4">
      <c r="H48" s="58"/>
      <c r="I48" s="81"/>
      <c r="J48" s="53"/>
      <c r="K48" s="52"/>
      <c r="L48" s="78"/>
      <c r="M48" s="78"/>
      <c r="N48" s="136"/>
      <c r="O48" s="136"/>
      <c r="P48" s="77"/>
      <c r="Q48" s="78"/>
      <c r="R48" s="78"/>
      <c r="S48" s="78"/>
      <c r="T48" s="78"/>
      <c r="U48" s="78"/>
      <c r="V48" s="77"/>
      <c r="W48" s="79"/>
      <c r="X48" s="79"/>
      <c r="Y48" s="79"/>
      <c r="Z48" s="79"/>
      <c r="AA48" s="137"/>
      <c r="AB48" s="142"/>
      <c r="AC48" s="142"/>
      <c r="AD48" s="141"/>
      <c r="AE48" s="141"/>
      <c r="AF48" s="141"/>
    </row>
    <row r="49" spans="1:32" ht="18" hidden="1" x14ac:dyDescent="0.4">
      <c r="A49" s="177" t="s">
        <v>114</v>
      </c>
      <c r="B49" s="177"/>
      <c r="C49" s="82" t="s">
        <v>118</v>
      </c>
      <c r="H49" s="58"/>
      <c r="I49" s="76"/>
      <c r="J49" s="53"/>
      <c r="K49" s="52"/>
      <c r="L49" s="78"/>
      <c r="M49" s="78"/>
      <c r="N49" s="136"/>
      <c r="O49" s="136"/>
      <c r="P49" s="77"/>
      <c r="Q49" s="78"/>
      <c r="R49" s="78"/>
      <c r="S49" s="78"/>
      <c r="T49" s="78"/>
      <c r="U49" s="78"/>
      <c r="V49" s="145"/>
      <c r="W49" s="79"/>
      <c r="X49" s="79"/>
      <c r="Y49" s="79"/>
      <c r="Z49" s="79"/>
      <c r="AA49" s="137"/>
      <c r="AB49" s="142"/>
      <c r="AC49" s="142"/>
      <c r="AD49" s="141"/>
      <c r="AE49" s="141"/>
      <c r="AF49" s="141"/>
    </row>
    <row r="50" spans="1:32" ht="16.5" hidden="1" x14ac:dyDescent="0.4">
      <c r="H50" s="58"/>
      <c r="I50" s="76"/>
      <c r="J50" s="53"/>
      <c r="K50" s="52"/>
      <c r="L50" s="78"/>
      <c r="M50" s="78"/>
      <c r="N50" s="136"/>
      <c r="O50" s="136"/>
      <c r="P50" s="77"/>
      <c r="Q50" s="78"/>
      <c r="R50" s="78"/>
      <c r="S50" s="78"/>
      <c r="T50" s="78"/>
      <c r="U50" s="78"/>
      <c r="V50" s="145"/>
      <c r="W50" s="79"/>
      <c r="X50" s="79"/>
      <c r="Y50" s="79"/>
      <c r="Z50" s="79"/>
      <c r="AA50" s="137"/>
      <c r="AB50" s="142"/>
      <c r="AC50" s="142"/>
      <c r="AD50" s="141"/>
      <c r="AE50" s="141"/>
      <c r="AF50" s="141"/>
    </row>
    <row r="51" spans="1:32" ht="16.5" hidden="1" x14ac:dyDescent="0.4">
      <c r="C51" s="61" t="s">
        <v>97</v>
      </c>
      <c r="D51" s="61" t="s">
        <v>42</v>
      </c>
      <c r="E51" s="61" t="s">
        <v>43</v>
      </c>
      <c r="F51" s="61" t="s">
        <v>135</v>
      </c>
      <c r="G51" s="61" t="s">
        <v>136</v>
      </c>
      <c r="H51" s="58"/>
      <c r="I51" s="76"/>
      <c r="J51" s="53"/>
      <c r="K51" s="52"/>
      <c r="L51" s="78"/>
      <c r="M51" s="78"/>
      <c r="N51" s="136"/>
      <c r="O51" s="136"/>
      <c r="P51" s="77"/>
      <c r="Q51" s="78"/>
      <c r="R51" s="78"/>
      <c r="S51" s="78"/>
      <c r="T51" s="78"/>
      <c r="U51" s="78"/>
      <c r="V51" s="145"/>
      <c r="W51" s="79"/>
      <c r="X51" s="79"/>
      <c r="Y51" s="79"/>
      <c r="Z51" s="79"/>
      <c r="AA51" s="83"/>
      <c r="AB51" s="144"/>
      <c r="AC51" s="144"/>
      <c r="AD51" s="141"/>
      <c r="AE51" s="141"/>
      <c r="AF51" s="141"/>
    </row>
    <row r="52" spans="1:32" ht="16.5" hidden="1" x14ac:dyDescent="0.4">
      <c r="B52" s="84" t="s">
        <v>44</v>
      </c>
      <c r="C52" s="54">
        <v>5.8660789011116056E-9</v>
      </c>
      <c r="D52" s="54">
        <v>5.3327031597113841</v>
      </c>
      <c r="E52" s="54">
        <v>-1.3156626251418994E-6</v>
      </c>
      <c r="F52" s="54">
        <v>5.0684039881566125E-7</v>
      </c>
      <c r="G52" s="54">
        <v>2.6927154478637799E-6</v>
      </c>
      <c r="H52" s="58"/>
      <c r="I52" s="76"/>
      <c r="J52" s="53"/>
      <c r="K52" s="52"/>
      <c r="L52" s="78"/>
      <c r="M52" s="78"/>
      <c r="N52" s="136"/>
      <c r="O52" s="136"/>
      <c r="P52" s="77"/>
      <c r="Q52" s="78"/>
      <c r="R52" s="78"/>
      <c r="S52" s="78"/>
      <c r="T52" s="78"/>
      <c r="U52" s="78"/>
      <c r="V52" s="145"/>
      <c r="W52" s="79"/>
      <c r="X52" s="79"/>
      <c r="Y52" s="79"/>
      <c r="Z52" s="79"/>
      <c r="AA52" s="83"/>
      <c r="AB52" s="144"/>
      <c r="AC52" s="144"/>
      <c r="AD52" s="141"/>
      <c r="AE52" s="141"/>
      <c r="AF52" s="141"/>
    </row>
    <row r="53" spans="1:32" ht="16.5" hidden="1" x14ac:dyDescent="0.4">
      <c r="B53" s="84" t="s">
        <v>45</v>
      </c>
      <c r="C53" s="54">
        <v>-7.3829104484335147E-6</v>
      </c>
      <c r="D53" s="54">
        <v>23.176119910685827</v>
      </c>
      <c r="E53" s="54">
        <v>1.1981024975959702E-3</v>
      </c>
      <c r="F53" s="54">
        <v>-1.711094481396001E-3</v>
      </c>
      <c r="G53" s="54">
        <v>-7.7823048568234599E-4</v>
      </c>
      <c r="H53" s="58"/>
      <c r="I53" s="76"/>
      <c r="J53" s="53"/>
      <c r="K53" s="52"/>
      <c r="L53" s="78"/>
      <c r="M53" s="78"/>
      <c r="N53" s="136"/>
      <c r="O53" s="136"/>
      <c r="P53" s="77"/>
      <c r="Q53" s="78"/>
      <c r="R53" s="78"/>
      <c r="S53" s="78"/>
      <c r="T53" s="78"/>
      <c r="U53" s="78"/>
      <c r="V53" s="145"/>
      <c r="W53" s="79"/>
      <c r="X53" s="79"/>
      <c r="Y53" s="79"/>
      <c r="Z53" s="79"/>
      <c r="AA53" s="77"/>
      <c r="AB53" s="136"/>
      <c r="AC53" s="136"/>
      <c r="AD53" s="141"/>
      <c r="AE53" s="141"/>
      <c r="AF53" s="141"/>
    </row>
    <row r="54" spans="1:32" ht="16.5" hidden="1" x14ac:dyDescent="0.4">
      <c r="B54" s="84" t="s">
        <v>46</v>
      </c>
      <c r="C54" s="54">
        <v>6.8378119713105546E-3</v>
      </c>
      <c r="D54" s="54">
        <v>146.1904923506861</v>
      </c>
      <c r="E54" s="54">
        <v>0.83062423081567605</v>
      </c>
      <c r="F54" s="54">
        <v>1.0424605867856402</v>
      </c>
      <c r="G54" s="54">
        <v>1.0177728149871439</v>
      </c>
      <c r="H54" s="58"/>
      <c r="I54" s="76"/>
      <c r="J54" s="53"/>
      <c r="K54" s="52"/>
      <c r="L54" s="78"/>
      <c r="M54" s="78"/>
      <c r="N54" s="136"/>
      <c r="O54" s="136"/>
      <c r="P54" s="77"/>
      <c r="Q54" s="78"/>
      <c r="R54" s="78"/>
      <c r="S54" s="78"/>
      <c r="T54" s="78"/>
      <c r="U54" s="78"/>
      <c r="V54" s="145"/>
      <c r="W54" s="79"/>
      <c r="X54" s="79"/>
      <c r="Y54" s="79"/>
      <c r="Z54" s="79"/>
      <c r="AA54" s="77"/>
      <c r="AB54" s="136"/>
      <c r="AC54" s="136"/>
      <c r="AD54" s="136"/>
      <c r="AE54" s="136"/>
      <c r="AF54" s="136"/>
    </row>
    <row r="55" spans="1:32" ht="16.5" hidden="1" x14ac:dyDescent="0.4">
      <c r="B55" s="84" t="s">
        <v>56</v>
      </c>
      <c r="C55" s="54">
        <v>-1.9539791067156725E-3</v>
      </c>
      <c r="D55" s="54">
        <v>0.30007967332267826</v>
      </c>
      <c r="E55" s="54"/>
      <c r="F55" s="54"/>
      <c r="G55" s="54"/>
      <c r="H55" s="58"/>
      <c r="I55" s="76"/>
      <c r="J55" s="53"/>
      <c r="K55" s="52"/>
      <c r="L55" s="78"/>
      <c r="M55" s="78"/>
      <c r="N55" s="136"/>
      <c r="O55" s="136"/>
      <c r="P55" s="77"/>
      <c r="Q55" s="77"/>
      <c r="R55" s="78"/>
      <c r="S55" s="78"/>
      <c r="T55" s="78"/>
      <c r="U55" s="78"/>
      <c r="V55" s="145"/>
      <c r="W55" s="79"/>
      <c r="X55" s="79"/>
      <c r="Y55" s="79"/>
      <c r="Z55" s="79"/>
      <c r="AA55" s="77"/>
      <c r="AB55" s="136"/>
      <c r="AC55" s="136"/>
      <c r="AD55" s="136"/>
      <c r="AE55" s="136"/>
      <c r="AF55" s="136"/>
    </row>
    <row r="56" spans="1:32" ht="16.5" hidden="1" x14ac:dyDescent="0.4">
      <c r="A56" s="58"/>
      <c r="B56" s="58"/>
      <c r="C56" s="85"/>
      <c r="D56" s="86"/>
      <c r="E56" s="58"/>
      <c r="F56" s="58"/>
      <c r="G56" s="58"/>
      <c r="H56" s="58"/>
      <c r="I56" s="76"/>
      <c r="J56" s="53"/>
      <c r="K56" s="52"/>
      <c r="L56" s="78"/>
      <c r="M56" s="78"/>
      <c r="N56" s="136"/>
      <c r="O56" s="136"/>
      <c r="P56" s="77"/>
      <c r="Q56" s="78"/>
      <c r="R56" s="78"/>
      <c r="S56" s="78"/>
      <c r="T56" s="78"/>
      <c r="U56" s="78"/>
      <c r="V56" s="145"/>
      <c r="W56" s="79"/>
      <c r="X56" s="79"/>
      <c r="Y56" s="79"/>
      <c r="Z56" s="79"/>
      <c r="AA56" s="77"/>
      <c r="AB56" s="136"/>
      <c r="AC56" s="136"/>
      <c r="AD56" s="136"/>
      <c r="AE56" s="136"/>
      <c r="AF56" s="136"/>
    </row>
    <row r="57" spans="1:32" ht="16.5" hidden="1" x14ac:dyDescent="0.15">
      <c r="A57" s="58"/>
      <c r="B57" s="58"/>
      <c r="C57" s="87"/>
      <c r="D57" s="88"/>
      <c r="E57" s="58"/>
      <c r="F57" s="58"/>
      <c r="G57" s="58"/>
      <c r="H57" s="58"/>
      <c r="I57" s="58"/>
      <c r="J57" s="58"/>
      <c r="L57" s="58" t="s">
        <v>133</v>
      </c>
      <c r="M57" s="89"/>
      <c r="N57" s="89"/>
      <c r="O57" s="90"/>
      <c r="P57" s="89"/>
      <c r="Q57" s="89"/>
      <c r="R57" s="89"/>
      <c r="S57" s="89"/>
      <c r="T57" s="89"/>
      <c r="U57" s="91"/>
      <c r="V57" s="89"/>
      <c r="W57" s="89"/>
      <c r="X57" s="84"/>
      <c r="Y57" s="84"/>
      <c r="Z57" s="84"/>
      <c r="AA57" s="138"/>
      <c r="AB57" s="92"/>
    </row>
    <row r="58" spans="1:32" ht="16.5" hidden="1" x14ac:dyDescent="0.15">
      <c r="A58" s="84"/>
      <c r="B58" s="84" t="s">
        <v>41</v>
      </c>
      <c r="C58" s="84" t="s">
        <v>42</v>
      </c>
      <c r="D58" s="84" t="s">
        <v>43</v>
      </c>
      <c r="E58" s="84" t="s">
        <v>135</v>
      </c>
      <c r="F58" s="84" t="s">
        <v>137</v>
      </c>
      <c r="G58" s="58"/>
      <c r="H58" s="89"/>
      <c r="I58" s="89"/>
      <c r="J58" s="89"/>
      <c r="K58" s="89"/>
      <c r="L58" s="72">
        <v>1</v>
      </c>
      <c r="M58" s="72">
        <v>2</v>
      </c>
      <c r="N58" s="135"/>
      <c r="O58" s="135"/>
      <c r="P58" s="73">
        <v>3</v>
      </c>
      <c r="Q58" s="73">
        <v>4</v>
      </c>
      <c r="R58" s="73">
        <v>5</v>
      </c>
      <c r="S58" s="73">
        <v>6</v>
      </c>
      <c r="T58" s="73">
        <v>7</v>
      </c>
      <c r="U58" s="73">
        <v>8</v>
      </c>
      <c r="V58" s="74">
        <v>9</v>
      </c>
      <c r="W58" s="74">
        <v>10</v>
      </c>
      <c r="X58" s="74">
        <v>11</v>
      </c>
      <c r="Y58" s="74">
        <v>12</v>
      </c>
      <c r="Z58" s="75">
        <v>13</v>
      </c>
      <c r="AA58" s="75">
        <v>14</v>
      </c>
      <c r="AB58" s="139"/>
      <c r="AC58" s="139"/>
      <c r="AD58" s="139"/>
      <c r="AE58" s="139"/>
      <c r="AF58" s="139"/>
    </row>
    <row r="59" spans="1:32" ht="16.5" hidden="1" x14ac:dyDescent="0.15">
      <c r="A59" s="84" t="s">
        <v>44</v>
      </c>
      <c r="B59" s="55">
        <f t="shared" ref="B59:F61" si="8">C52</f>
        <v>5.8660789011116056E-9</v>
      </c>
      <c r="C59" s="55">
        <f t="shared" si="8"/>
        <v>5.3327031597113841</v>
      </c>
      <c r="D59" s="55">
        <f t="shared" si="8"/>
        <v>-1.3156626251418994E-6</v>
      </c>
      <c r="E59" s="55">
        <f t="shared" si="8"/>
        <v>5.0684039881566125E-7</v>
      </c>
      <c r="F59" s="55">
        <f t="shared" si="8"/>
        <v>2.6927154478637799E-6</v>
      </c>
      <c r="G59" s="58"/>
      <c r="H59" s="56" t="s">
        <v>1</v>
      </c>
      <c r="I59" s="56" t="s">
        <v>2</v>
      </c>
      <c r="J59" s="89"/>
      <c r="K59" s="89" t="s">
        <v>47</v>
      </c>
      <c r="L59" s="72" t="str">
        <f>L2</f>
        <v>5000K,70Min</v>
      </c>
      <c r="M59" s="72" t="str">
        <f>L3</f>
        <v>4000K,70Min</v>
      </c>
      <c r="N59" s="135" t="e">
        <f>#REF!</f>
        <v>#REF!</v>
      </c>
      <c r="O59" s="135" t="e">
        <f>#REF!</f>
        <v>#REF!</v>
      </c>
      <c r="P59" s="73" t="str">
        <f>L4</f>
        <v>5700K,80Min</v>
      </c>
      <c r="Q59" s="73" t="str">
        <f>L5</f>
        <v>5000K,80Min</v>
      </c>
      <c r="R59" s="73" t="str">
        <f>L6</f>
        <v>4000K,80Min</v>
      </c>
      <c r="S59" s="73" t="str">
        <f>L7</f>
        <v>3500K,80Min</v>
      </c>
      <c r="T59" s="73" t="str">
        <f>L8</f>
        <v>3000K,80Min</v>
      </c>
      <c r="U59" s="73" t="str">
        <f>L9</f>
        <v>2700K,80Min</v>
      </c>
      <c r="V59" s="74" t="str">
        <f>L10</f>
        <v>5700K,90Min On BBL</v>
      </c>
      <c r="W59" s="74" t="str">
        <f>L11</f>
        <v>5000K,90Min On BBL</v>
      </c>
      <c r="X59" s="74" t="str">
        <f>L12</f>
        <v>4000K,90Min On BBL</v>
      </c>
      <c r="Y59" s="74" t="str">
        <f>L13</f>
        <v>3500K,90Min On BBL</v>
      </c>
      <c r="Z59" s="74" t="str">
        <f>L14</f>
        <v>3000K,90Min On BBL</v>
      </c>
      <c r="AA59" s="74" t="str">
        <f>L15</f>
        <v>2700K,90Min On BBL</v>
      </c>
      <c r="AB59" s="135" t="e">
        <f>#REF!</f>
        <v>#REF!</v>
      </c>
      <c r="AC59" s="135" t="e">
        <f>#REF!</f>
        <v>#REF!</v>
      </c>
      <c r="AD59" s="140" t="e">
        <f>#REF!</f>
        <v>#REF!</v>
      </c>
      <c r="AE59" s="140" t="e">
        <f>#REF!</f>
        <v>#REF!</v>
      </c>
      <c r="AF59" s="140" t="e">
        <f>#REF!</f>
        <v>#REF!</v>
      </c>
    </row>
    <row r="60" spans="1:32" ht="16.5" hidden="1" x14ac:dyDescent="0.15">
      <c r="A60" s="84" t="s">
        <v>45</v>
      </c>
      <c r="B60" s="55">
        <f t="shared" si="8"/>
        <v>-7.3829104484335147E-6</v>
      </c>
      <c r="C60" s="55">
        <f t="shared" si="8"/>
        <v>23.176119910685827</v>
      </c>
      <c r="D60" s="55">
        <f t="shared" si="8"/>
        <v>1.1981024975959702E-3</v>
      </c>
      <c r="E60" s="55">
        <f t="shared" si="8"/>
        <v>-1.711094481396001E-3</v>
      </c>
      <c r="F60" s="55">
        <f t="shared" si="8"/>
        <v>-7.7823048568234599E-4</v>
      </c>
      <c r="G60" s="58">
        <f>H60*I60</f>
        <v>16</v>
      </c>
      <c r="H60" s="57">
        <v>4</v>
      </c>
      <c r="I60" s="57">
        <v>4</v>
      </c>
      <c r="J60" s="58" t="str">
        <f>B2</f>
        <v>PSL440-0404C4</v>
      </c>
      <c r="K60" s="93">
        <f>Tsスペック算出!J7</f>
        <v>12.209672396366903</v>
      </c>
      <c r="L60" s="78">
        <f t="shared" ref="L60:O61" si="9">L43/$K43</f>
        <v>1080.2088707303838</v>
      </c>
      <c r="M60" s="78">
        <f t="shared" si="9"/>
        <v>1063.3470737238606</v>
      </c>
      <c r="N60" s="136">
        <f t="shared" si="9"/>
        <v>0</v>
      </c>
      <c r="O60" s="136">
        <f t="shared" si="9"/>
        <v>0</v>
      </c>
      <c r="P60" s="78">
        <f t="shared" ref="P60:U61" si="10">P43/$K43</f>
        <v>990.63057413322986</v>
      </c>
      <c r="Q60" s="78">
        <f t="shared" si="10"/>
        <v>969.55332787507609</v>
      </c>
      <c r="R60" s="78">
        <f t="shared" si="10"/>
        <v>948.47608161692222</v>
      </c>
      <c r="S60" s="78">
        <f t="shared" si="10"/>
        <v>943.20677005238372</v>
      </c>
      <c r="T60" s="78">
        <f t="shared" si="10"/>
        <v>922.12952379422995</v>
      </c>
      <c r="U60" s="78">
        <f t="shared" si="10"/>
        <v>885.2443428424607</v>
      </c>
      <c r="V60" s="78">
        <f t="shared" ref="V60" si="11">V43/$K43</f>
        <v>795.66604624530703</v>
      </c>
      <c r="W60" s="78">
        <f t="shared" ref="W60:Z61" si="12">W43/$K43</f>
        <v>774.58879998715315</v>
      </c>
      <c r="X60" s="78">
        <f t="shared" si="12"/>
        <v>769.31948842261465</v>
      </c>
      <c r="Y60" s="78">
        <f t="shared" si="12"/>
        <v>764.05017685807627</v>
      </c>
      <c r="Z60" s="78">
        <f t="shared" si="12"/>
        <v>753.51155372899927</v>
      </c>
      <c r="AA60" s="78">
        <f t="shared" ref="AA60" si="13">AA43/$K43</f>
        <v>711.35706121269163</v>
      </c>
      <c r="AB60" s="136"/>
      <c r="AC60" s="136"/>
      <c r="AD60" s="136"/>
      <c r="AE60" s="136"/>
      <c r="AF60" s="136"/>
    </row>
    <row r="61" spans="1:32" ht="16.5" hidden="1" x14ac:dyDescent="0.15">
      <c r="A61" s="84" t="s">
        <v>46</v>
      </c>
      <c r="B61" s="55">
        <f t="shared" si="8"/>
        <v>6.8378119713105546E-3</v>
      </c>
      <c r="C61" s="55">
        <f t="shared" si="8"/>
        <v>146.1904923506861</v>
      </c>
      <c r="D61" s="55">
        <f t="shared" si="8"/>
        <v>0.83062423081567605</v>
      </c>
      <c r="E61" s="55">
        <f t="shared" si="8"/>
        <v>1.0424605867856402</v>
      </c>
      <c r="F61" s="55">
        <f t="shared" si="8"/>
        <v>1.0177728149871439</v>
      </c>
      <c r="G61" s="58">
        <f>H61*I61</f>
        <v>20</v>
      </c>
      <c r="H61" s="63">
        <v>4</v>
      </c>
      <c r="I61" s="63">
        <v>5</v>
      </c>
      <c r="J61" s="58" t="str">
        <f>B3</f>
        <v>PSL445-0405C4</v>
      </c>
      <c r="K61" s="93">
        <f>Tsスペック算出!J8</f>
        <v>11.488122604501358</v>
      </c>
      <c r="L61" s="78" t="e">
        <f>L44/$K44</f>
        <v>#DIV/0!</v>
      </c>
      <c r="M61" s="78" t="e">
        <f t="shared" si="9"/>
        <v>#DIV/0!</v>
      </c>
      <c r="N61" s="136" t="e">
        <f t="shared" si="9"/>
        <v>#DIV/0!</v>
      </c>
      <c r="O61" s="136" t="e">
        <f t="shared" si="9"/>
        <v>#DIV/0!</v>
      </c>
      <c r="P61" s="78" t="e">
        <f t="shared" si="10"/>
        <v>#DIV/0!</v>
      </c>
      <c r="Q61" s="78" t="e">
        <f t="shared" si="10"/>
        <v>#DIV/0!</v>
      </c>
      <c r="R61" s="78" t="e">
        <f t="shared" si="10"/>
        <v>#DIV/0!</v>
      </c>
      <c r="S61" s="78" t="e">
        <f t="shared" si="10"/>
        <v>#DIV/0!</v>
      </c>
      <c r="T61" s="78" t="e">
        <f t="shared" si="10"/>
        <v>#DIV/0!</v>
      </c>
      <c r="U61" s="78" t="e">
        <f t="shared" si="10"/>
        <v>#DIV/0!</v>
      </c>
      <c r="V61" s="78" t="e">
        <f t="shared" ref="V61" si="14">V44/$K44</f>
        <v>#DIV/0!</v>
      </c>
      <c r="W61" s="78" t="e">
        <f t="shared" si="12"/>
        <v>#DIV/0!</v>
      </c>
      <c r="X61" s="78" t="e">
        <f t="shared" si="12"/>
        <v>#DIV/0!</v>
      </c>
      <c r="Y61" s="78" t="e">
        <f t="shared" si="12"/>
        <v>#DIV/0!</v>
      </c>
      <c r="Z61" s="78" t="e">
        <f t="shared" si="12"/>
        <v>#DIV/0!</v>
      </c>
      <c r="AA61" s="78" t="e">
        <f t="shared" ref="AA61" si="15">AA44/$K44</f>
        <v>#DIV/0!</v>
      </c>
      <c r="AB61" s="136"/>
      <c r="AC61" s="136"/>
      <c r="AD61" s="136"/>
      <c r="AE61" s="136"/>
      <c r="AF61" s="136"/>
    </row>
    <row r="62" spans="1:32" ht="16.5" hidden="1" x14ac:dyDescent="0.15">
      <c r="A62" s="89" t="s">
        <v>57</v>
      </c>
      <c r="B62" s="55">
        <f>C55</f>
        <v>-1.9539791067156725E-3</v>
      </c>
      <c r="C62" s="55">
        <f>D55</f>
        <v>0.30007967332267826</v>
      </c>
      <c r="D62" s="58"/>
      <c r="E62" s="55"/>
      <c r="F62" s="58"/>
      <c r="G62" s="58">
        <f t="shared" ref="G62:G72" si="16">H62*I62</f>
        <v>0</v>
      </c>
      <c r="H62" s="63"/>
      <c r="I62" s="63"/>
      <c r="J62" s="58" t="e">
        <f>#REF!</f>
        <v>#REF!</v>
      </c>
      <c r="K62" s="93" t="e">
        <f>Tsスペック算出!#REF!</f>
        <v>#REF!</v>
      </c>
      <c r="L62" s="77"/>
      <c r="M62" s="77"/>
      <c r="N62" s="136"/>
      <c r="O62" s="136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136"/>
      <c r="AC62" s="136"/>
      <c r="AD62" s="136"/>
      <c r="AE62" s="136"/>
      <c r="AF62" s="136"/>
    </row>
    <row r="63" spans="1:32" ht="16.5" hidden="1" x14ac:dyDescent="0.15">
      <c r="A63" s="58"/>
      <c r="B63" s="94"/>
      <c r="C63" s="94"/>
      <c r="D63" s="58"/>
      <c r="E63" s="58"/>
      <c r="G63" s="58">
        <f t="shared" si="16"/>
        <v>0</v>
      </c>
      <c r="H63" s="63"/>
      <c r="I63" s="63"/>
      <c r="J63" s="58" t="e">
        <f>#REF!</f>
        <v>#REF!</v>
      </c>
      <c r="K63" s="93" t="e">
        <f>Tsスペック算出!#REF!</f>
        <v>#REF!</v>
      </c>
      <c r="L63" s="77"/>
      <c r="M63" s="77"/>
      <c r="N63" s="136"/>
      <c r="O63" s="136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136"/>
      <c r="AC63" s="136"/>
      <c r="AD63" s="136"/>
      <c r="AE63" s="136"/>
      <c r="AF63" s="136"/>
    </row>
    <row r="64" spans="1:32" ht="16.5" hidden="1" x14ac:dyDescent="0.15">
      <c r="A64" s="58"/>
      <c r="B64" s="95"/>
      <c r="C64" s="96"/>
      <c r="D64" s="58" t="str">
        <f>CONCATENATE("lm(%,@",E68,"C)")</f>
        <v>lm(%,@25C)</v>
      </c>
      <c r="E64" s="97">
        <f>E59*$E$68^2+E60*$E$68+E61</f>
        <v>1</v>
      </c>
      <c r="F64" s="98"/>
      <c r="G64" s="58">
        <f t="shared" si="16"/>
        <v>0</v>
      </c>
      <c r="H64" s="63"/>
      <c r="I64" s="63"/>
      <c r="J64" s="58" t="e">
        <f>#REF!</f>
        <v>#REF!</v>
      </c>
      <c r="K64" s="93" t="e">
        <f>Tsスペック算出!#REF!</f>
        <v>#REF!</v>
      </c>
      <c r="L64" s="77"/>
      <c r="M64" s="77"/>
      <c r="N64" s="136"/>
      <c r="O64" s="136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136"/>
      <c r="AC64" s="136"/>
      <c r="AD64" s="136"/>
      <c r="AE64" s="136"/>
      <c r="AF64" s="136"/>
    </row>
    <row r="65" spans="1:32" ht="16.5" hidden="1" x14ac:dyDescent="0.15">
      <c r="A65" s="58"/>
      <c r="B65" s="58"/>
      <c r="C65" s="58"/>
      <c r="D65" s="58"/>
      <c r="E65" s="58"/>
      <c r="G65" s="58">
        <f t="shared" si="16"/>
        <v>0</v>
      </c>
      <c r="H65" s="63"/>
      <c r="I65" s="63"/>
      <c r="J65" s="58" t="e">
        <f>#REF!</f>
        <v>#REF!</v>
      </c>
      <c r="K65" s="93" t="e">
        <f>Tsスペック算出!#REF!</f>
        <v>#REF!</v>
      </c>
      <c r="L65" s="77"/>
      <c r="M65" s="77"/>
      <c r="N65" s="136"/>
      <c r="O65" s="136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136"/>
      <c r="AC65" s="136"/>
      <c r="AD65" s="136"/>
      <c r="AE65" s="136"/>
      <c r="AF65" s="136"/>
    </row>
    <row r="66" spans="1:32" ht="16.5" hidden="1" x14ac:dyDescent="0.15">
      <c r="A66" s="58"/>
      <c r="B66" s="58"/>
      <c r="C66" s="58"/>
      <c r="D66" s="58" t="s">
        <v>28</v>
      </c>
      <c r="E66" s="99">
        <f>Simulator!G6</f>
        <v>350</v>
      </c>
      <c r="G66" s="58">
        <f t="shared" si="16"/>
        <v>0</v>
      </c>
      <c r="H66" s="63"/>
      <c r="I66" s="63"/>
      <c r="J66" s="58" t="e">
        <f>#REF!</f>
        <v>#REF!</v>
      </c>
      <c r="K66" s="93" t="e">
        <f>Tsスペック算出!#REF!</f>
        <v>#REF!</v>
      </c>
      <c r="L66" s="77"/>
      <c r="M66" s="77"/>
      <c r="N66" s="136"/>
      <c r="O66" s="136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136"/>
      <c r="AC66" s="136"/>
      <c r="AD66" s="136"/>
      <c r="AE66" s="136"/>
      <c r="AF66" s="136"/>
    </row>
    <row r="67" spans="1:32" ht="16.5" hidden="1" x14ac:dyDescent="0.15">
      <c r="A67" s="58"/>
      <c r="B67" s="94"/>
      <c r="C67" s="94"/>
      <c r="D67" s="58"/>
      <c r="E67" s="58"/>
      <c r="G67" s="58">
        <f t="shared" si="16"/>
        <v>0</v>
      </c>
      <c r="H67" s="63"/>
      <c r="I67" s="63"/>
      <c r="J67" s="58" t="e">
        <f>#REF!</f>
        <v>#REF!</v>
      </c>
      <c r="K67" s="93" t="e">
        <f>Tsスペック算出!#REF!</f>
        <v>#REF!</v>
      </c>
      <c r="L67" s="77"/>
      <c r="M67" s="77"/>
      <c r="N67" s="136"/>
      <c r="O67" s="136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136"/>
      <c r="AC67" s="136"/>
      <c r="AD67" s="136"/>
      <c r="AE67" s="136"/>
      <c r="AF67" s="136"/>
    </row>
    <row r="68" spans="1:32" ht="16.5" hidden="1" x14ac:dyDescent="0.15">
      <c r="A68" s="58"/>
      <c r="B68" s="100"/>
      <c r="C68" s="76"/>
      <c r="D68" s="58" t="s">
        <v>138</v>
      </c>
      <c r="E68" s="101">
        <f>Simulator!L6</f>
        <v>25</v>
      </c>
      <c r="G68" s="58">
        <f t="shared" ref="G68" si="17">H68*I68</f>
        <v>0</v>
      </c>
      <c r="H68" s="63"/>
      <c r="I68" s="63"/>
      <c r="J68" s="58" t="e">
        <f>#REF!</f>
        <v>#REF!</v>
      </c>
      <c r="K68" s="93" t="e">
        <f>Tsスペック算出!#REF!</f>
        <v>#REF!</v>
      </c>
      <c r="L68" s="77"/>
      <c r="M68" s="77"/>
      <c r="N68" s="136"/>
      <c r="O68" s="136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136"/>
      <c r="AC68" s="136"/>
      <c r="AD68" s="136"/>
      <c r="AE68" s="136"/>
      <c r="AF68" s="136"/>
    </row>
    <row r="69" spans="1:32" ht="16.5" hidden="1" x14ac:dyDescent="0.15">
      <c r="A69" s="58"/>
      <c r="B69" s="100"/>
      <c r="C69" s="76"/>
      <c r="G69" s="58">
        <f t="shared" si="16"/>
        <v>0</v>
      </c>
      <c r="H69" s="63"/>
      <c r="I69" s="63"/>
      <c r="J69" s="58" t="e">
        <f>#REF!</f>
        <v>#REF!</v>
      </c>
      <c r="K69" s="93" t="e">
        <f>Tsスペック算出!#REF!</f>
        <v>#REF!</v>
      </c>
      <c r="L69" s="77"/>
      <c r="M69" s="77"/>
      <c r="N69" s="136"/>
      <c r="O69" s="136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136"/>
      <c r="AC69" s="136"/>
      <c r="AD69" s="136"/>
      <c r="AE69" s="136"/>
      <c r="AF69" s="136"/>
    </row>
    <row r="70" spans="1:32" ht="16.5" hidden="1" x14ac:dyDescent="0.15">
      <c r="A70" s="58"/>
      <c r="B70" s="58"/>
      <c r="C70" s="58"/>
      <c r="D70" s="102" t="s">
        <v>139</v>
      </c>
      <c r="E70" s="101">
        <f>E66/E64</f>
        <v>350</v>
      </c>
      <c r="G70" s="58">
        <f t="shared" si="16"/>
        <v>0</v>
      </c>
      <c r="H70" s="63"/>
      <c r="I70" s="63"/>
      <c r="J70" s="58" t="e">
        <f>#REF!</f>
        <v>#REF!</v>
      </c>
      <c r="K70" s="93" t="e">
        <f>Tsスペック算出!#REF!</f>
        <v>#REF!</v>
      </c>
      <c r="L70" s="77"/>
      <c r="M70" s="77"/>
      <c r="N70" s="136"/>
      <c r="O70" s="136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136"/>
      <c r="AC70" s="136"/>
      <c r="AD70" s="136"/>
      <c r="AE70" s="136"/>
      <c r="AF70" s="136"/>
    </row>
    <row r="71" spans="1:32" ht="16.5" hidden="1" x14ac:dyDescent="0.15">
      <c r="A71" s="58"/>
      <c r="B71" s="58"/>
      <c r="C71" s="103"/>
      <c r="G71" s="58">
        <f t="shared" si="16"/>
        <v>0</v>
      </c>
      <c r="H71" s="63"/>
      <c r="I71" s="63"/>
      <c r="J71" s="58" t="e">
        <f>#REF!</f>
        <v>#REF!</v>
      </c>
      <c r="K71" s="93" t="e">
        <f>Tsスペック算出!#REF!</f>
        <v>#REF!</v>
      </c>
      <c r="L71" s="77"/>
      <c r="M71" s="77"/>
      <c r="N71" s="136"/>
      <c r="O71" s="136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136"/>
      <c r="AC71" s="136"/>
      <c r="AD71" s="136"/>
      <c r="AE71" s="136"/>
      <c r="AF71" s="136"/>
    </row>
    <row r="72" spans="1:32" ht="16.5" hidden="1" x14ac:dyDescent="0.15">
      <c r="A72" s="58"/>
      <c r="B72" s="58"/>
      <c r="C72" s="59"/>
      <c r="G72" s="58">
        <f t="shared" si="16"/>
        <v>0</v>
      </c>
      <c r="H72" s="63"/>
      <c r="I72" s="63"/>
      <c r="J72" s="58" t="e">
        <f>#REF!</f>
        <v>#REF!</v>
      </c>
      <c r="K72" s="93" t="e">
        <f>Tsスペック算出!#REF!</f>
        <v>#REF!</v>
      </c>
      <c r="L72" s="77"/>
      <c r="M72" s="77"/>
      <c r="N72" s="136"/>
      <c r="O72" s="136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136"/>
      <c r="AC72" s="136"/>
      <c r="AD72" s="136"/>
      <c r="AE72" s="136"/>
      <c r="AF72" s="136"/>
    </row>
    <row r="73" spans="1:32" ht="16.5" hidden="1" x14ac:dyDescent="0.15">
      <c r="A73" s="58"/>
      <c r="B73" s="58"/>
      <c r="C73" s="59"/>
      <c r="G73" s="58">
        <f t="shared" ref="G73" si="18">H73*I73</f>
        <v>0</v>
      </c>
      <c r="H73" s="63"/>
      <c r="I73" s="63"/>
      <c r="J73" s="58" t="e">
        <f>#REF!</f>
        <v>#REF!</v>
      </c>
      <c r="K73" s="93" t="e">
        <f>Tsスペック算出!#REF!</f>
        <v>#REF!</v>
      </c>
      <c r="L73" s="77"/>
      <c r="M73" s="77"/>
      <c r="N73" s="136"/>
      <c r="O73" s="136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136"/>
      <c r="AC73" s="136"/>
      <c r="AD73" s="136"/>
      <c r="AE73" s="136"/>
      <c r="AF73" s="136"/>
    </row>
    <row r="74" spans="1:32" ht="16.5" hidden="1" x14ac:dyDescent="0.15"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</row>
    <row r="75" spans="1:32" ht="16.5" hidden="1" x14ac:dyDescent="0.15">
      <c r="G75" s="58"/>
      <c r="H75" s="58"/>
      <c r="I75" s="58"/>
      <c r="J75" s="58"/>
      <c r="K75" s="58"/>
      <c r="L75" s="58"/>
      <c r="M75" s="58"/>
      <c r="N75" s="58"/>
      <c r="O75" s="58"/>
      <c r="P75" s="95">
        <v>0.92</v>
      </c>
      <c r="Q75" s="95">
        <v>1.08</v>
      </c>
      <c r="R75" s="58"/>
      <c r="S75" s="58"/>
      <c r="T75" s="58"/>
      <c r="U75" s="58"/>
      <c r="V75" s="58"/>
      <c r="W75" s="58"/>
    </row>
    <row r="76" spans="1:32" ht="16.5" hidden="1" x14ac:dyDescent="0.15">
      <c r="A76" s="58"/>
      <c r="B76" s="95"/>
      <c r="C76" s="103"/>
      <c r="G76" s="58"/>
      <c r="H76" s="58" t="s">
        <v>48</v>
      </c>
      <c r="I76" s="58"/>
      <c r="J76" s="58"/>
      <c r="K76" s="89" t="str">
        <f>HLOOKUP(Simulator!$C$6,Calculation_440!L$58:AF$73,2,FALSE)</f>
        <v>5000K,70Min</v>
      </c>
      <c r="L76" s="89" t="s">
        <v>49</v>
      </c>
      <c r="M76" s="89" t="s">
        <v>50</v>
      </c>
      <c r="N76" s="104" t="s">
        <v>51</v>
      </c>
      <c r="O76" s="89" t="s">
        <v>66</v>
      </c>
      <c r="P76" s="105" t="s">
        <v>63</v>
      </c>
      <c r="Q76" s="105" t="s">
        <v>65</v>
      </c>
      <c r="R76" s="106" t="s">
        <v>140</v>
      </c>
      <c r="S76" s="104" t="s">
        <v>33</v>
      </c>
      <c r="T76" s="104"/>
      <c r="U76" s="104" t="s">
        <v>27</v>
      </c>
      <c r="V76" s="89" t="s">
        <v>141</v>
      </c>
      <c r="W76" s="89" t="s">
        <v>142</v>
      </c>
      <c r="X76" s="104" t="s">
        <v>52</v>
      </c>
      <c r="Y76" s="58"/>
    </row>
    <row r="77" spans="1:32" ht="16.5" hidden="1" x14ac:dyDescent="0.15">
      <c r="A77" s="58"/>
      <c r="B77" s="95"/>
      <c r="C77" s="103"/>
      <c r="G77" s="58"/>
      <c r="H77" s="100">
        <f t="shared" ref="H77:H90" si="19">K77/G60</f>
        <v>67.513054420648984</v>
      </c>
      <c r="I77" s="58"/>
      <c r="J77" s="58" t="str">
        <f t="shared" ref="J77:J90" si="20">J60</f>
        <v>PSL440-0404C4</v>
      </c>
      <c r="K77" s="107">
        <f>HLOOKUP(Simulator!$C$6,Calculation_440!L$58:AF$73,3,FALSE)</f>
        <v>1080.2088707303838</v>
      </c>
      <c r="L77" s="76">
        <f t="shared" ref="L77:L90" si="21">E$70/K77</f>
        <v>0.32401141064815303</v>
      </c>
      <c r="M77" s="100">
        <f>C$59*$L77^3+C$60*$L77^2+C$61*$L77+C$62</f>
        <v>50.281971314837733</v>
      </c>
      <c r="N77" s="108">
        <f>M77*I60</f>
        <v>201.12788525935093</v>
      </c>
      <c r="O77" s="109">
        <f t="shared" ref="O77:O90" si="22">(D$59*$M77^2+D$60*$M77+D$61)*K60</f>
        <v>10.836582737922487</v>
      </c>
      <c r="P77" s="110">
        <f>O77*$P$75</f>
        <v>9.9696561188886896</v>
      </c>
      <c r="Q77" s="110">
        <f>O77*$Q$75</f>
        <v>11.703509356956287</v>
      </c>
      <c r="R77" s="111">
        <f xml:space="preserve"> (F$59*$E$68^2+F$60*$E$68+F$61)*O77</f>
        <v>10.836582737922487</v>
      </c>
      <c r="S77" s="112">
        <f>N77*R77/1000</f>
        <v>2.179538969516337</v>
      </c>
      <c r="T77" s="112"/>
      <c r="U77" s="112">
        <f>E$66/S77</f>
        <v>160.58441940942618</v>
      </c>
      <c r="V77" s="132">
        <v>3.5</v>
      </c>
      <c r="W77" s="100">
        <f>S77*V77</f>
        <v>7.6283863933071796</v>
      </c>
      <c r="X77" s="112">
        <f t="shared" ref="X77:X90" si="23">IFERROR(E$68+W77,FALSE)</f>
        <v>32.628386393307181</v>
      </c>
      <c r="Y77" s="58"/>
    </row>
    <row r="78" spans="1:32" ht="16.5" hidden="1" x14ac:dyDescent="0.15">
      <c r="A78" s="84"/>
      <c r="B78" s="84"/>
      <c r="C78" s="84"/>
      <c r="D78" s="89"/>
      <c r="E78" s="89"/>
      <c r="F78" s="89"/>
      <c r="H78" s="100" t="e">
        <f t="shared" si="19"/>
        <v>#DIV/0!</v>
      </c>
      <c r="I78" s="58"/>
      <c r="J78" s="58" t="str">
        <f t="shared" si="20"/>
        <v>PSL445-0405C4</v>
      </c>
      <c r="K78" s="107" t="e">
        <f>HLOOKUP(Simulator!$C$6,Calculation_440!L$58:AF$73,4,FALSE)</f>
        <v>#DIV/0!</v>
      </c>
      <c r="L78" s="76" t="e">
        <f t="shared" si="21"/>
        <v>#DIV/0!</v>
      </c>
      <c r="M78" s="100" t="e">
        <f>C$59*$L78^3+C$60*$L78^2+C$61*$L78+C$62</f>
        <v>#DIV/0!</v>
      </c>
      <c r="N78" s="108" t="e">
        <f t="shared" ref="N78:N90" si="24">M78*I61</f>
        <v>#DIV/0!</v>
      </c>
      <c r="O78" s="109" t="e">
        <f t="shared" si="22"/>
        <v>#DIV/0!</v>
      </c>
      <c r="P78" s="110" t="e">
        <f t="shared" ref="P78:P90" si="25">O78*$P$75</f>
        <v>#DIV/0!</v>
      </c>
      <c r="Q78" s="110" t="e">
        <f t="shared" ref="Q78:Q90" si="26">O78*$Q$75</f>
        <v>#DIV/0!</v>
      </c>
      <c r="R78" s="111" t="e">
        <f t="shared" ref="R78:R90" si="27" xml:space="preserve"> (F$59*$E$68^2+F$60*$E$68+F$61)*O78</f>
        <v>#DIV/0!</v>
      </c>
      <c r="S78" s="112" t="e">
        <f t="shared" ref="S78:S89" si="28">N78*R78/1000</f>
        <v>#DIV/0!</v>
      </c>
      <c r="T78" s="112"/>
      <c r="U78" s="112" t="e">
        <f t="shared" ref="U78:U90" si="29">E$66/S78</f>
        <v>#DIV/0!</v>
      </c>
      <c r="V78" s="132">
        <v>2.8</v>
      </c>
      <c r="W78" s="100" t="e">
        <f>S78*V78</f>
        <v>#DIV/0!</v>
      </c>
      <c r="X78" s="112" t="b">
        <f t="shared" si="23"/>
        <v>0</v>
      </c>
      <c r="Y78" s="58"/>
    </row>
    <row r="79" spans="1:32" ht="16.5" hidden="1" x14ac:dyDescent="0.15">
      <c r="A79" s="89"/>
      <c r="B79" s="113"/>
      <c r="C79" s="113"/>
      <c r="D79" s="113"/>
      <c r="E79" s="113"/>
      <c r="F79" s="113"/>
      <c r="H79" s="100" t="e">
        <f t="shared" si="19"/>
        <v>#DIV/0!</v>
      </c>
      <c r="I79" s="58"/>
      <c r="J79" s="58" t="e">
        <f t="shared" si="20"/>
        <v>#REF!</v>
      </c>
      <c r="K79" s="107">
        <f>HLOOKUP(Simulator!$C$6,Calculation_440!L$58:AF$73,5,FALSE)</f>
        <v>0</v>
      </c>
      <c r="L79" s="76" t="e">
        <f t="shared" si="21"/>
        <v>#DIV/0!</v>
      </c>
      <c r="M79" s="100" t="e">
        <f t="shared" ref="M79:M90" si="30">C$59*$L79^3+C$60*$L79^2+C$61*$L79+C$62</f>
        <v>#DIV/0!</v>
      </c>
      <c r="N79" s="108" t="e">
        <f t="shared" si="24"/>
        <v>#DIV/0!</v>
      </c>
      <c r="O79" s="109" t="e">
        <f t="shared" si="22"/>
        <v>#DIV/0!</v>
      </c>
      <c r="P79" s="110" t="e">
        <f t="shared" si="25"/>
        <v>#DIV/0!</v>
      </c>
      <c r="Q79" s="110" t="e">
        <f t="shared" si="26"/>
        <v>#DIV/0!</v>
      </c>
      <c r="R79" s="111" t="e">
        <f t="shared" si="27"/>
        <v>#DIV/0!</v>
      </c>
      <c r="S79" s="112" t="e">
        <f t="shared" si="28"/>
        <v>#DIV/0!</v>
      </c>
      <c r="T79" s="112"/>
      <c r="U79" s="112" t="e">
        <f t="shared" si="29"/>
        <v>#DIV/0!</v>
      </c>
      <c r="V79" s="132"/>
      <c r="W79" s="100" t="e">
        <f t="shared" ref="W79:W88" si="31">S79*V79</f>
        <v>#DIV/0!</v>
      </c>
      <c r="X79" s="112" t="b">
        <f t="shared" si="23"/>
        <v>0</v>
      </c>
      <c r="Y79" s="58"/>
    </row>
    <row r="80" spans="1:32" ht="16.5" hidden="1" x14ac:dyDescent="0.15">
      <c r="A80" s="89"/>
      <c r="B80" s="113"/>
      <c r="C80" s="113"/>
      <c r="D80" s="113"/>
      <c r="E80" s="113"/>
      <c r="F80" s="113"/>
      <c r="H80" s="100" t="e">
        <f t="shared" si="19"/>
        <v>#DIV/0!</v>
      </c>
      <c r="I80" s="58"/>
      <c r="J80" s="58" t="e">
        <f t="shared" si="20"/>
        <v>#REF!</v>
      </c>
      <c r="K80" s="107">
        <f>HLOOKUP(Simulator!$C$6,Calculation_440!L$58:AF$73,6,FALSE)</f>
        <v>0</v>
      </c>
      <c r="L80" s="76" t="e">
        <f t="shared" si="21"/>
        <v>#DIV/0!</v>
      </c>
      <c r="M80" s="100" t="e">
        <f t="shared" si="30"/>
        <v>#DIV/0!</v>
      </c>
      <c r="N80" s="108" t="e">
        <f t="shared" si="24"/>
        <v>#DIV/0!</v>
      </c>
      <c r="O80" s="109" t="e">
        <f t="shared" si="22"/>
        <v>#DIV/0!</v>
      </c>
      <c r="P80" s="110" t="e">
        <f t="shared" si="25"/>
        <v>#DIV/0!</v>
      </c>
      <c r="Q80" s="110" t="e">
        <f t="shared" si="26"/>
        <v>#DIV/0!</v>
      </c>
      <c r="R80" s="111" t="e">
        <f t="shared" si="27"/>
        <v>#DIV/0!</v>
      </c>
      <c r="S80" s="112" t="e">
        <f t="shared" si="28"/>
        <v>#DIV/0!</v>
      </c>
      <c r="T80" s="112"/>
      <c r="U80" s="112" t="e">
        <f t="shared" si="29"/>
        <v>#DIV/0!</v>
      </c>
      <c r="V80" s="63"/>
      <c r="W80" s="100" t="e">
        <f t="shared" si="31"/>
        <v>#DIV/0!</v>
      </c>
      <c r="X80" s="112" t="b">
        <f t="shared" si="23"/>
        <v>0</v>
      </c>
      <c r="Y80" s="58"/>
    </row>
    <row r="81" spans="1:25" ht="16.5" hidden="1" x14ac:dyDescent="0.15">
      <c r="A81" s="89"/>
      <c r="B81" s="113"/>
      <c r="C81" s="113"/>
      <c r="D81" s="113"/>
      <c r="E81" s="113"/>
      <c r="F81" s="113"/>
      <c r="H81" s="100" t="e">
        <f t="shared" si="19"/>
        <v>#DIV/0!</v>
      </c>
      <c r="I81" s="58"/>
      <c r="J81" s="58" t="e">
        <f t="shared" si="20"/>
        <v>#REF!</v>
      </c>
      <c r="K81" s="107">
        <f>HLOOKUP(Simulator!$C$6,Calculation_440!L$58:AF$73,7,FALSE)</f>
        <v>0</v>
      </c>
      <c r="L81" s="76" t="e">
        <f t="shared" si="21"/>
        <v>#DIV/0!</v>
      </c>
      <c r="M81" s="100" t="e">
        <f t="shared" si="30"/>
        <v>#DIV/0!</v>
      </c>
      <c r="N81" s="108" t="e">
        <f t="shared" si="24"/>
        <v>#DIV/0!</v>
      </c>
      <c r="O81" s="109" t="e">
        <f t="shared" si="22"/>
        <v>#DIV/0!</v>
      </c>
      <c r="P81" s="110" t="e">
        <f t="shared" si="25"/>
        <v>#DIV/0!</v>
      </c>
      <c r="Q81" s="110" t="e">
        <f t="shared" si="26"/>
        <v>#DIV/0!</v>
      </c>
      <c r="R81" s="111" t="e">
        <f t="shared" si="27"/>
        <v>#DIV/0!</v>
      </c>
      <c r="S81" s="112" t="e">
        <f t="shared" si="28"/>
        <v>#DIV/0!</v>
      </c>
      <c r="T81" s="112"/>
      <c r="U81" s="112" t="e">
        <f t="shared" si="29"/>
        <v>#DIV/0!</v>
      </c>
      <c r="V81" s="63"/>
      <c r="W81" s="100" t="e">
        <f t="shared" si="31"/>
        <v>#DIV/0!</v>
      </c>
      <c r="X81" s="112" t="b">
        <f t="shared" si="23"/>
        <v>0</v>
      </c>
      <c r="Y81" s="58"/>
    </row>
    <row r="82" spans="1:25" ht="16.5" hidden="1" x14ac:dyDescent="0.15">
      <c r="A82" s="89"/>
      <c r="B82" s="113"/>
      <c r="C82" s="113"/>
      <c r="D82" s="58"/>
      <c r="E82" s="58"/>
      <c r="H82" s="100" t="e">
        <f t="shared" si="19"/>
        <v>#DIV/0!</v>
      </c>
      <c r="I82" s="58"/>
      <c r="J82" s="58" t="e">
        <f t="shared" si="20"/>
        <v>#REF!</v>
      </c>
      <c r="K82" s="107">
        <f>HLOOKUP(Simulator!$C$6,Calculation_440!L$58:AF$73,8,FALSE)</f>
        <v>0</v>
      </c>
      <c r="L82" s="76" t="e">
        <f t="shared" si="21"/>
        <v>#DIV/0!</v>
      </c>
      <c r="M82" s="100" t="e">
        <f t="shared" si="30"/>
        <v>#DIV/0!</v>
      </c>
      <c r="N82" s="108" t="e">
        <f t="shared" si="24"/>
        <v>#DIV/0!</v>
      </c>
      <c r="O82" s="109" t="e">
        <f t="shared" si="22"/>
        <v>#DIV/0!</v>
      </c>
      <c r="P82" s="110" t="e">
        <f t="shared" si="25"/>
        <v>#DIV/0!</v>
      </c>
      <c r="Q82" s="110" t="e">
        <f t="shared" si="26"/>
        <v>#DIV/0!</v>
      </c>
      <c r="R82" s="111" t="e">
        <f t="shared" si="27"/>
        <v>#DIV/0!</v>
      </c>
      <c r="S82" s="112" t="e">
        <f t="shared" si="28"/>
        <v>#DIV/0!</v>
      </c>
      <c r="T82" s="112"/>
      <c r="U82" s="112" t="e">
        <f t="shared" si="29"/>
        <v>#DIV/0!</v>
      </c>
      <c r="V82" s="63"/>
      <c r="W82" s="100" t="e">
        <f t="shared" si="31"/>
        <v>#DIV/0!</v>
      </c>
      <c r="X82" s="112" t="b">
        <f t="shared" si="23"/>
        <v>0</v>
      </c>
      <c r="Y82" s="58"/>
    </row>
    <row r="83" spans="1:25" ht="16.5" hidden="1" x14ac:dyDescent="0.15">
      <c r="A83" s="58"/>
      <c r="B83" s="114"/>
      <c r="C83" s="114"/>
      <c r="D83" s="58"/>
      <c r="E83" s="58"/>
      <c r="H83" s="100" t="e">
        <f t="shared" si="19"/>
        <v>#DIV/0!</v>
      </c>
      <c r="I83" s="58"/>
      <c r="J83" s="58" t="e">
        <f t="shared" si="20"/>
        <v>#REF!</v>
      </c>
      <c r="K83" s="107">
        <f>HLOOKUP(Simulator!$C$6,Calculation_440!L$58:AF$73,9,FALSE)</f>
        <v>0</v>
      </c>
      <c r="L83" s="76" t="e">
        <f t="shared" si="21"/>
        <v>#DIV/0!</v>
      </c>
      <c r="M83" s="100" t="e">
        <f t="shared" si="30"/>
        <v>#DIV/0!</v>
      </c>
      <c r="N83" s="108" t="e">
        <f t="shared" si="24"/>
        <v>#DIV/0!</v>
      </c>
      <c r="O83" s="109" t="e">
        <f t="shared" si="22"/>
        <v>#DIV/0!</v>
      </c>
      <c r="P83" s="110" t="e">
        <f t="shared" si="25"/>
        <v>#DIV/0!</v>
      </c>
      <c r="Q83" s="110" t="e">
        <f t="shared" si="26"/>
        <v>#DIV/0!</v>
      </c>
      <c r="R83" s="111" t="e">
        <f t="shared" si="27"/>
        <v>#DIV/0!</v>
      </c>
      <c r="S83" s="112" t="e">
        <f t="shared" si="28"/>
        <v>#DIV/0!</v>
      </c>
      <c r="T83" s="112"/>
      <c r="U83" s="112" t="e">
        <f t="shared" si="29"/>
        <v>#DIV/0!</v>
      </c>
      <c r="V83" s="63"/>
      <c r="W83" s="100" t="e">
        <f t="shared" si="31"/>
        <v>#DIV/0!</v>
      </c>
      <c r="X83" s="112" t="b">
        <f t="shared" si="23"/>
        <v>0</v>
      </c>
      <c r="Y83" s="58"/>
    </row>
    <row r="84" spans="1:25" ht="16.5" hidden="1" x14ac:dyDescent="0.15">
      <c r="A84" s="58"/>
      <c r="B84" s="115"/>
      <c r="C84" s="116"/>
      <c r="D84" s="58"/>
      <c r="E84" s="117"/>
      <c r="H84" s="100" t="e">
        <f t="shared" si="19"/>
        <v>#DIV/0!</v>
      </c>
      <c r="I84" s="58"/>
      <c r="J84" s="58" t="e">
        <f t="shared" si="20"/>
        <v>#REF!</v>
      </c>
      <c r="K84" s="107">
        <f>HLOOKUP(Simulator!$C$6,Calculation_440!L$58:AF$73,10,FALSE)</f>
        <v>0</v>
      </c>
      <c r="L84" s="76" t="e">
        <f t="shared" si="21"/>
        <v>#DIV/0!</v>
      </c>
      <c r="M84" s="100" t="e">
        <f t="shared" si="30"/>
        <v>#DIV/0!</v>
      </c>
      <c r="N84" s="108" t="e">
        <f t="shared" si="24"/>
        <v>#DIV/0!</v>
      </c>
      <c r="O84" s="109" t="e">
        <f t="shared" si="22"/>
        <v>#DIV/0!</v>
      </c>
      <c r="P84" s="110" t="e">
        <f t="shared" si="25"/>
        <v>#DIV/0!</v>
      </c>
      <c r="Q84" s="110" t="e">
        <f t="shared" si="26"/>
        <v>#DIV/0!</v>
      </c>
      <c r="R84" s="111" t="e">
        <f t="shared" si="27"/>
        <v>#DIV/0!</v>
      </c>
      <c r="S84" s="112" t="e">
        <f t="shared" si="28"/>
        <v>#DIV/0!</v>
      </c>
      <c r="T84" s="112"/>
      <c r="U84" s="112" t="e">
        <f t="shared" si="29"/>
        <v>#DIV/0!</v>
      </c>
      <c r="V84" s="93"/>
      <c r="W84" s="100" t="e">
        <f t="shared" si="31"/>
        <v>#DIV/0!</v>
      </c>
      <c r="X84" s="112" t="b">
        <f t="shared" si="23"/>
        <v>0</v>
      </c>
      <c r="Y84" s="58"/>
    </row>
    <row r="85" spans="1:25" ht="16.5" hidden="1" x14ac:dyDescent="0.15">
      <c r="A85" s="58"/>
      <c r="B85" s="58"/>
      <c r="C85" s="58"/>
      <c r="D85" s="58"/>
      <c r="E85" s="58"/>
      <c r="H85" s="100" t="e">
        <f t="shared" si="19"/>
        <v>#DIV/0!</v>
      </c>
      <c r="I85" s="58"/>
      <c r="J85" s="58" t="e">
        <f t="shared" si="20"/>
        <v>#REF!</v>
      </c>
      <c r="K85" s="118">
        <f>HLOOKUP(Simulator!$C$6,Calculation_440!L$58:AF$73,11,FALSE)</f>
        <v>0</v>
      </c>
      <c r="L85" s="76" t="e">
        <f>E$70/K85</f>
        <v>#DIV/0!</v>
      </c>
      <c r="M85" s="100" t="e">
        <f>C$59*$L85^3+C$60*$L85^2+C$61*$L85+C$62</f>
        <v>#DIV/0!</v>
      </c>
      <c r="N85" s="108" t="e">
        <f>M85*I68</f>
        <v>#DIV/0!</v>
      </c>
      <c r="O85" s="109" t="e">
        <f>(D$59*$M85^2+D$60*$M85+D$61)*K68</f>
        <v>#DIV/0!</v>
      </c>
      <c r="P85" s="110" t="e">
        <f t="shared" ref="P85" si="32">O85*$P$75</f>
        <v>#DIV/0!</v>
      </c>
      <c r="Q85" s="110" t="e">
        <f t="shared" ref="Q85" si="33">O85*$Q$75</f>
        <v>#DIV/0!</v>
      </c>
      <c r="R85" s="111" t="e">
        <f xml:space="preserve"> (F$59*$E$68^2+F$60*$E$68+F$61)*O85</f>
        <v>#DIV/0!</v>
      </c>
      <c r="S85" s="119" t="e">
        <f>N85*R85/1000</f>
        <v>#DIV/0!</v>
      </c>
      <c r="T85" s="112"/>
      <c r="U85" s="112" t="e">
        <f t="shared" ref="U85" si="34">E$66/S85</f>
        <v>#DIV/0!</v>
      </c>
      <c r="V85" s="63"/>
      <c r="W85" s="100" t="e">
        <f t="shared" ref="W85" si="35">S85*V85</f>
        <v>#DIV/0!</v>
      </c>
      <c r="X85" s="112" t="b">
        <f t="shared" si="23"/>
        <v>0</v>
      </c>
      <c r="Y85" s="58"/>
    </row>
    <row r="86" spans="1:25" ht="16.5" hidden="1" x14ac:dyDescent="0.15">
      <c r="A86" s="58"/>
      <c r="B86" s="58"/>
      <c r="C86" s="58"/>
      <c r="D86" s="58"/>
      <c r="E86" s="58"/>
      <c r="H86" s="100" t="e">
        <f t="shared" si="19"/>
        <v>#DIV/0!</v>
      </c>
      <c r="I86" s="58"/>
      <c r="J86" s="58" t="e">
        <f t="shared" si="20"/>
        <v>#REF!</v>
      </c>
      <c r="K86" s="107">
        <f>HLOOKUP(Simulator!$C$6,Calculation_440!L$58:AF$73,12,FALSE)</f>
        <v>0</v>
      </c>
      <c r="L86" s="76" t="e">
        <f t="shared" si="21"/>
        <v>#DIV/0!</v>
      </c>
      <c r="M86" s="100" t="e">
        <f t="shared" si="30"/>
        <v>#DIV/0!</v>
      </c>
      <c r="N86" s="108" t="e">
        <f t="shared" si="24"/>
        <v>#DIV/0!</v>
      </c>
      <c r="O86" s="109" t="e">
        <f t="shared" si="22"/>
        <v>#DIV/0!</v>
      </c>
      <c r="P86" s="110" t="e">
        <f t="shared" si="25"/>
        <v>#DIV/0!</v>
      </c>
      <c r="Q86" s="110" t="e">
        <f t="shared" si="26"/>
        <v>#DIV/0!</v>
      </c>
      <c r="R86" s="111" t="e">
        <f t="shared" si="27"/>
        <v>#DIV/0!</v>
      </c>
      <c r="S86" s="112" t="e">
        <f t="shared" si="28"/>
        <v>#DIV/0!</v>
      </c>
      <c r="T86" s="112"/>
      <c r="U86" s="112" t="e">
        <f t="shared" si="29"/>
        <v>#DIV/0!</v>
      </c>
      <c r="V86" s="63"/>
      <c r="W86" s="100" t="e">
        <f t="shared" si="31"/>
        <v>#DIV/0!</v>
      </c>
      <c r="X86" s="112" t="b">
        <f t="shared" si="23"/>
        <v>0</v>
      </c>
      <c r="Y86" s="58"/>
    </row>
    <row r="87" spans="1:25" ht="16.5" hidden="1" x14ac:dyDescent="0.15">
      <c r="A87" s="58"/>
      <c r="B87" s="58"/>
      <c r="C87" s="58"/>
      <c r="D87" s="58"/>
      <c r="E87" s="99"/>
      <c r="H87" s="100" t="e">
        <f t="shared" si="19"/>
        <v>#DIV/0!</v>
      </c>
      <c r="I87" s="58"/>
      <c r="J87" s="58" t="e">
        <f t="shared" si="20"/>
        <v>#REF!</v>
      </c>
      <c r="K87" s="107">
        <f>HLOOKUP(Simulator!$C$6,Calculation_440!L$58:AF$73,13,FALSE)</f>
        <v>0</v>
      </c>
      <c r="L87" s="76" t="e">
        <f t="shared" si="21"/>
        <v>#DIV/0!</v>
      </c>
      <c r="M87" s="100" t="e">
        <f t="shared" si="30"/>
        <v>#DIV/0!</v>
      </c>
      <c r="N87" s="108" t="e">
        <f t="shared" si="24"/>
        <v>#DIV/0!</v>
      </c>
      <c r="O87" s="109" t="e">
        <f t="shared" si="22"/>
        <v>#DIV/0!</v>
      </c>
      <c r="P87" s="110" t="e">
        <f t="shared" si="25"/>
        <v>#DIV/0!</v>
      </c>
      <c r="Q87" s="110" t="e">
        <f t="shared" si="26"/>
        <v>#DIV/0!</v>
      </c>
      <c r="R87" s="111" t="e">
        <f t="shared" si="27"/>
        <v>#DIV/0!</v>
      </c>
      <c r="S87" s="112" t="e">
        <f t="shared" si="28"/>
        <v>#DIV/0!</v>
      </c>
      <c r="T87" s="112"/>
      <c r="U87" s="112" t="e">
        <f t="shared" si="29"/>
        <v>#DIV/0!</v>
      </c>
      <c r="V87" s="63"/>
      <c r="W87" s="100" t="e">
        <f t="shared" si="31"/>
        <v>#DIV/0!</v>
      </c>
      <c r="X87" s="112" t="b">
        <f t="shared" si="23"/>
        <v>0</v>
      </c>
      <c r="Y87" s="58"/>
    </row>
    <row r="88" spans="1:25" ht="16.5" hidden="1" x14ac:dyDescent="0.15">
      <c r="A88" s="58"/>
      <c r="B88" s="94"/>
      <c r="C88" s="94"/>
      <c r="D88" s="58"/>
      <c r="E88" s="58"/>
      <c r="H88" s="100" t="e">
        <f t="shared" si="19"/>
        <v>#DIV/0!</v>
      </c>
      <c r="I88" s="58"/>
      <c r="J88" s="58" t="e">
        <f t="shared" si="20"/>
        <v>#REF!</v>
      </c>
      <c r="K88" s="107">
        <f>HLOOKUP(Simulator!$C$6,Calculation_440!L$58:AF$73,14,FALSE)</f>
        <v>0</v>
      </c>
      <c r="L88" s="76" t="e">
        <f t="shared" si="21"/>
        <v>#DIV/0!</v>
      </c>
      <c r="M88" s="100" t="e">
        <f t="shared" si="30"/>
        <v>#DIV/0!</v>
      </c>
      <c r="N88" s="108" t="e">
        <f t="shared" si="24"/>
        <v>#DIV/0!</v>
      </c>
      <c r="O88" s="109" t="e">
        <f t="shared" si="22"/>
        <v>#DIV/0!</v>
      </c>
      <c r="P88" s="110" t="e">
        <f t="shared" si="25"/>
        <v>#DIV/0!</v>
      </c>
      <c r="Q88" s="110" t="e">
        <f t="shared" si="26"/>
        <v>#DIV/0!</v>
      </c>
      <c r="R88" s="111" t="e">
        <f t="shared" si="27"/>
        <v>#DIV/0!</v>
      </c>
      <c r="S88" s="112" t="e">
        <f t="shared" si="28"/>
        <v>#DIV/0!</v>
      </c>
      <c r="T88" s="112"/>
      <c r="U88" s="112" t="e">
        <f t="shared" si="29"/>
        <v>#DIV/0!</v>
      </c>
      <c r="V88" s="63"/>
      <c r="W88" s="100" t="e">
        <f t="shared" si="31"/>
        <v>#DIV/0!</v>
      </c>
      <c r="X88" s="112" t="b">
        <f t="shared" si="23"/>
        <v>0</v>
      </c>
      <c r="Y88" s="58"/>
    </row>
    <row r="89" spans="1:25" ht="16.5" hidden="1" x14ac:dyDescent="0.15">
      <c r="A89" s="58"/>
      <c r="B89" s="100"/>
      <c r="C89" s="120"/>
      <c r="D89" s="58"/>
      <c r="E89" s="121"/>
      <c r="H89" s="100" t="e">
        <f t="shared" si="19"/>
        <v>#DIV/0!</v>
      </c>
      <c r="I89" s="58"/>
      <c r="J89" s="58" t="e">
        <f t="shared" si="20"/>
        <v>#REF!</v>
      </c>
      <c r="K89" s="107">
        <f>HLOOKUP(Simulator!$C$6,Calculation_440!L$58:AF$73,15,FALSE)</f>
        <v>0</v>
      </c>
      <c r="L89" s="76" t="e">
        <f t="shared" si="21"/>
        <v>#DIV/0!</v>
      </c>
      <c r="M89" s="100" t="e">
        <f t="shared" si="30"/>
        <v>#DIV/0!</v>
      </c>
      <c r="N89" s="108" t="e">
        <f t="shared" si="24"/>
        <v>#DIV/0!</v>
      </c>
      <c r="O89" s="109" t="e">
        <f t="shared" si="22"/>
        <v>#DIV/0!</v>
      </c>
      <c r="P89" s="110" t="e">
        <f t="shared" si="25"/>
        <v>#DIV/0!</v>
      </c>
      <c r="Q89" s="110" t="e">
        <f t="shared" si="26"/>
        <v>#DIV/0!</v>
      </c>
      <c r="R89" s="111" t="e">
        <f t="shared" si="27"/>
        <v>#DIV/0!</v>
      </c>
      <c r="S89" s="112" t="e">
        <f t="shared" si="28"/>
        <v>#DIV/0!</v>
      </c>
      <c r="T89" s="112"/>
      <c r="U89" s="112" t="e">
        <f t="shared" si="29"/>
        <v>#DIV/0!</v>
      </c>
      <c r="V89" s="63"/>
      <c r="W89" s="100" t="e">
        <f>S89*V89</f>
        <v>#DIV/0!</v>
      </c>
      <c r="X89" s="112" t="b">
        <f t="shared" si="23"/>
        <v>0</v>
      </c>
      <c r="Y89" s="58"/>
    </row>
    <row r="90" spans="1:25" ht="16.5" hidden="1" x14ac:dyDescent="0.15">
      <c r="A90" s="58"/>
      <c r="B90" s="95"/>
      <c r="C90" s="103"/>
      <c r="D90" s="58"/>
      <c r="E90" s="58"/>
      <c r="F90" s="58"/>
      <c r="G90" s="58"/>
      <c r="H90" s="100" t="e">
        <f t="shared" si="19"/>
        <v>#DIV/0!</v>
      </c>
      <c r="I90" s="58"/>
      <c r="J90" s="58" t="e">
        <f t="shared" si="20"/>
        <v>#REF!</v>
      </c>
      <c r="K90" s="107">
        <f>HLOOKUP(Simulator!$C$6,Calculation_440!L$58:AF$73,16,FALSE)</f>
        <v>0</v>
      </c>
      <c r="L90" s="76" t="e">
        <f t="shared" si="21"/>
        <v>#DIV/0!</v>
      </c>
      <c r="M90" s="100" t="e">
        <f t="shared" si="30"/>
        <v>#DIV/0!</v>
      </c>
      <c r="N90" s="108" t="e">
        <f t="shared" si="24"/>
        <v>#DIV/0!</v>
      </c>
      <c r="O90" s="109" t="e">
        <f t="shared" si="22"/>
        <v>#DIV/0!</v>
      </c>
      <c r="P90" s="110" t="e">
        <f t="shared" si="25"/>
        <v>#DIV/0!</v>
      </c>
      <c r="Q90" s="110" t="e">
        <f t="shared" si="26"/>
        <v>#DIV/0!</v>
      </c>
      <c r="R90" s="111" t="e">
        <f t="shared" si="27"/>
        <v>#DIV/0!</v>
      </c>
      <c r="S90" s="112" t="e">
        <f t="shared" ref="S90" si="36">N90*R90/1000</f>
        <v>#DIV/0!</v>
      </c>
      <c r="T90" s="112"/>
      <c r="U90" s="112" t="e">
        <f t="shared" si="29"/>
        <v>#DIV/0!</v>
      </c>
      <c r="V90" s="63"/>
      <c r="W90" s="100" t="e">
        <f>S90*V90</f>
        <v>#DIV/0!</v>
      </c>
      <c r="X90" s="112" t="b">
        <f t="shared" si="23"/>
        <v>0</v>
      </c>
    </row>
    <row r="91" spans="1:25" ht="16.5" hidden="1" x14ac:dyDescent="0.15">
      <c r="A91" s="58"/>
      <c r="B91" s="95"/>
      <c r="C91" s="103"/>
      <c r="D91" s="102"/>
      <c r="E91" s="122"/>
      <c r="F91" s="58"/>
      <c r="G91" s="58"/>
      <c r="H91" s="58"/>
      <c r="I91" s="58"/>
      <c r="J91" s="58"/>
      <c r="K91" s="58"/>
      <c r="L91" s="58"/>
      <c r="M91" s="58"/>
      <c r="N91" s="58"/>
      <c r="O91" s="109"/>
      <c r="P91" s="104"/>
      <c r="Q91" s="66"/>
      <c r="R91" s="66"/>
      <c r="S91" s="66"/>
      <c r="T91" s="66"/>
      <c r="U91" s="58"/>
      <c r="V91" s="58"/>
      <c r="W91" s="58"/>
    </row>
    <row r="92" spans="1:25" ht="16.5" hidden="1" x14ac:dyDescent="0.15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109"/>
      <c r="P92" s="104" t="s">
        <v>134</v>
      </c>
      <c r="Q92" s="104" t="s">
        <v>5</v>
      </c>
      <c r="R92" s="104"/>
      <c r="S92" s="104"/>
      <c r="T92" s="104"/>
      <c r="U92" s="58"/>
      <c r="V92" s="58"/>
      <c r="W92" s="58"/>
    </row>
    <row r="93" spans="1:25" ht="16.5" hidden="1" x14ac:dyDescent="0.15">
      <c r="A93" s="58"/>
      <c r="C93" s="123"/>
      <c r="D93" s="123"/>
      <c r="E93" s="123"/>
      <c r="F93" s="123"/>
      <c r="G93" s="58"/>
      <c r="H93" s="58"/>
      <c r="I93" s="58"/>
      <c r="J93" s="58"/>
      <c r="K93" s="100"/>
      <c r="L93" s="100"/>
      <c r="M93" s="100"/>
      <c r="N93" s="58"/>
      <c r="O93" s="109"/>
      <c r="P93" s="66"/>
      <c r="Q93" s="124">
        <f>C42</f>
        <v>5</v>
      </c>
      <c r="R93" s="124"/>
      <c r="S93" s="66"/>
      <c r="T93" s="66"/>
      <c r="U93" s="58"/>
      <c r="V93" s="58"/>
      <c r="W93" s="58"/>
    </row>
    <row r="94" spans="1:25" ht="16.5" hidden="1" x14ac:dyDescent="0.15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100"/>
      <c r="L94" s="100"/>
      <c r="M94" s="100"/>
      <c r="N94" s="58"/>
      <c r="O94" s="109"/>
      <c r="P94" s="66"/>
      <c r="Q94" s="66"/>
      <c r="R94" s="66"/>
      <c r="S94" s="66"/>
      <c r="T94" s="66"/>
      <c r="U94" s="58"/>
      <c r="V94" s="58"/>
      <c r="W94" s="58"/>
    </row>
    <row r="95" spans="1:25" ht="16.5" hidden="1" x14ac:dyDescent="0.15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100"/>
      <c r="L95" s="100"/>
      <c r="M95" s="100"/>
      <c r="N95" s="58"/>
      <c r="O95" s="109"/>
      <c r="P95" s="104" t="s">
        <v>134</v>
      </c>
      <c r="Q95" s="104" t="s">
        <v>4</v>
      </c>
      <c r="R95" s="104"/>
      <c r="S95" s="104" t="s">
        <v>5</v>
      </c>
      <c r="T95" s="66"/>
      <c r="U95" s="58"/>
      <c r="V95" s="58"/>
      <c r="W95" s="58"/>
    </row>
    <row r="96" spans="1:25" ht="16.5" hidden="1" x14ac:dyDescent="0.15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100"/>
      <c r="L96" s="100"/>
      <c r="M96" s="100"/>
      <c r="N96" s="58"/>
      <c r="O96" s="109"/>
      <c r="P96" s="66"/>
      <c r="Q96" s="66">
        <f>$C$44</f>
        <v>105</v>
      </c>
      <c r="R96" s="66"/>
      <c r="S96" s="66">
        <f>$D$44</f>
        <v>-30</v>
      </c>
      <c r="T96" s="66"/>
      <c r="U96" s="58"/>
      <c r="V96" s="58"/>
      <c r="W96" s="58"/>
    </row>
    <row r="97" spans="1:23" ht="16.5" hidden="1" x14ac:dyDescent="0.15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100"/>
      <c r="L97" s="100"/>
      <c r="M97" s="100"/>
      <c r="N97" s="58"/>
      <c r="O97" s="109"/>
      <c r="T97" s="66"/>
      <c r="U97" s="58"/>
      <c r="V97" s="58"/>
      <c r="W97" s="58"/>
    </row>
    <row r="98" spans="1:23" ht="16.5" hidden="1" x14ac:dyDescent="0.15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100"/>
      <c r="L98" s="100"/>
      <c r="M98" s="100"/>
      <c r="N98" s="58"/>
      <c r="O98" s="109"/>
      <c r="P98" s="104" t="s">
        <v>7</v>
      </c>
      <c r="Q98" s="104" t="s">
        <v>4</v>
      </c>
      <c r="R98" s="104"/>
      <c r="S98" s="104" t="s">
        <v>5</v>
      </c>
      <c r="T98" s="66"/>
      <c r="U98" s="58"/>
      <c r="V98" s="58"/>
      <c r="W98" s="58"/>
    </row>
    <row r="99" spans="1:23" ht="16.5" hidden="1" x14ac:dyDescent="0.15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109"/>
      <c r="P99" s="66"/>
      <c r="Q99" s="66">
        <f>$C$46</f>
        <v>140</v>
      </c>
      <c r="R99" s="66"/>
      <c r="S99" s="66">
        <f>$D$46</f>
        <v>-25</v>
      </c>
      <c r="T99" s="66"/>
      <c r="U99" s="58"/>
      <c r="V99" s="58"/>
      <c r="W99" s="58"/>
    </row>
    <row r="100" spans="1:23" ht="16.5" hidden="1" x14ac:dyDescent="0.15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100"/>
      <c r="M100" s="76"/>
      <c r="N100" s="58"/>
      <c r="O100" s="109"/>
      <c r="P100" s="66"/>
      <c r="Q100" s="66"/>
      <c r="R100" s="66"/>
      <c r="S100" s="66"/>
      <c r="T100" s="66"/>
      <c r="U100" s="58"/>
      <c r="V100" s="58"/>
      <c r="W100" s="58"/>
    </row>
    <row r="101" spans="1:23" ht="16.5" hidden="1" x14ac:dyDescent="0.15">
      <c r="A101" s="58"/>
      <c r="B101" s="58"/>
      <c r="C101" s="58"/>
      <c r="D101" s="58"/>
      <c r="E101" s="58"/>
      <c r="F101" s="58"/>
      <c r="G101" s="58"/>
      <c r="H101" s="58"/>
      <c r="I101" s="58" t="s">
        <v>115</v>
      </c>
      <c r="J101" s="58"/>
      <c r="K101" s="58"/>
      <c r="L101" s="100"/>
      <c r="M101" s="76"/>
      <c r="N101" s="58"/>
      <c r="O101" s="109"/>
      <c r="P101" s="66"/>
      <c r="Q101" s="104" t="s">
        <v>134</v>
      </c>
      <c r="R101" s="104" t="s">
        <v>6</v>
      </c>
      <c r="S101" s="104"/>
      <c r="T101" s="104"/>
      <c r="U101" s="104"/>
      <c r="V101" s="104" t="s">
        <v>7</v>
      </c>
      <c r="W101" s="104" t="s">
        <v>52</v>
      </c>
    </row>
    <row r="102" spans="1:23" ht="16.5" hidden="1" x14ac:dyDescent="0.15">
      <c r="A102" s="58"/>
      <c r="B102" s="58"/>
      <c r="C102" s="58"/>
      <c r="D102" s="58"/>
      <c r="E102" s="58"/>
      <c r="F102" s="58"/>
      <c r="G102" s="58"/>
      <c r="H102" s="58"/>
      <c r="I102" s="58" t="s">
        <v>116</v>
      </c>
      <c r="J102" s="58" t="s">
        <v>117</v>
      </c>
      <c r="K102" s="58" t="s">
        <v>58</v>
      </c>
      <c r="M102" s="76"/>
      <c r="N102" s="100" t="s">
        <v>59</v>
      </c>
      <c r="O102" s="109"/>
      <c r="P102" s="66"/>
      <c r="Q102" s="104" t="s">
        <v>3</v>
      </c>
      <c r="R102" s="104" t="s">
        <v>38</v>
      </c>
      <c r="S102" s="104"/>
      <c r="T102" s="104" t="s">
        <v>39</v>
      </c>
      <c r="U102" s="104" t="s">
        <v>53</v>
      </c>
      <c r="V102" s="104" t="s">
        <v>3</v>
      </c>
      <c r="W102" s="104" t="s">
        <v>54</v>
      </c>
    </row>
    <row r="103" spans="1:23" ht="16.5" hidden="1" x14ac:dyDescent="0.4">
      <c r="A103" s="58"/>
      <c r="B103" s="58"/>
      <c r="C103" s="58"/>
      <c r="D103" s="58"/>
      <c r="E103" s="58"/>
      <c r="F103" s="58"/>
      <c r="G103" s="58"/>
      <c r="H103" s="58"/>
      <c r="I103" s="93">
        <v>-20</v>
      </c>
      <c r="J103" s="93">
        <v>2900</v>
      </c>
      <c r="K103" s="58"/>
      <c r="L103" s="100">
        <f t="shared" ref="L103:L116" si="37">$D$42*I60</f>
        <v>900</v>
      </c>
      <c r="M103" s="125">
        <f>(I103*$E$68)+J103</f>
        <v>2400</v>
      </c>
      <c r="N103" s="126">
        <f t="shared" ref="N103" si="38">IF(L103&gt;=M103,M103,L103)</f>
        <v>900</v>
      </c>
      <c r="O103" s="109"/>
      <c r="P103" s="58" t="str">
        <f t="shared" ref="P103:P116" si="39">J77</f>
        <v>PSL440-0404C4</v>
      </c>
      <c r="Q103" s="66" t="b">
        <f t="shared" ref="Q103:Q116" si="40">AND(S$96&lt;=$E$68,Q$96&gt;=$E$68)</f>
        <v>1</v>
      </c>
      <c r="R103" s="100">
        <f t="shared" ref="R103:R116" si="41">Q$93*I60</f>
        <v>20</v>
      </c>
      <c r="S103" s="100"/>
      <c r="T103" s="100">
        <f>N103</f>
        <v>900</v>
      </c>
      <c r="U103" s="66" t="b">
        <f t="shared" ref="U103:U116" si="42">IFERROR(AND(Q103,R103&lt;=N77,T103&gt;=N77),FALSE)</f>
        <v>1</v>
      </c>
      <c r="V103" s="66" t="b">
        <f t="shared" ref="V103:V116" si="43">AND(Q103,S$99&lt;X77,Q$99&gt;X77)</f>
        <v>1</v>
      </c>
      <c r="W103" s="66" t="b">
        <f>AND(U103,Q103,V103)</f>
        <v>1</v>
      </c>
    </row>
    <row r="104" spans="1:23" ht="16.5" hidden="1" x14ac:dyDescent="0.4">
      <c r="A104" s="58"/>
      <c r="B104" s="58"/>
      <c r="C104" s="58"/>
      <c r="D104" s="58"/>
      <c r="E104" s="58"/>
      <c r="F104" s="58"/>
      <c r="G104" s="58"/>
      <c r="H104" s="58"/>
      <c r="I104" s="93">
        <v>-25.714285714285715</v>
      </c>
      <c r="J104" s="93">
        <v>3600</v>
      </c>
      <c r="K104" s="58"/>
      <c r="L104" s="100">
        <f t="shared" si="37"/>
        <v>1125</v>
      </c>
      <c r="M104" s="125">
        <f t="shared" ref="M104:M116" si="44">(I104*$E$68)+J104</f>
        <v>2957.1428571428569</v>
      </c>
      <c r="N104" s="126">
        <f t="shared" ref="N104:N116" si="45">IF(L104&gt;=M104,M104,L104)</f>
        <v>1125</v>
      </c>
      <c r="O104" s="109"/>
      <c r="P104" s="58" t="str">
        <f t="shared" si="39"/>
        <v>PSL445-0405C4</v>
      </c>
      <c r="Q104" s="66" t="b">
        <f t="shared" si="40"/>
        <v>1</v>
      </c>
      <c r="R104" s="100">
        <f t="shared" si="41"/>
        <v>25</v>
      </c>
      <c r="S104" s="100"/>
      <c r="T104" s="100">
        <f>N104</f>
        <v>1125</v>
      </c>
      <c r="U104" s="66" t="b">
        <f t="shared" si="42"/>
        <v>0</v>
      </c>
      <c r="V104" s="66" t="b">
        <f t="shared" si="43"/>
        <v>0</v>
      </c>
      <c r="W104" s="66" t="b">
        <f>AND(U104,Q104,V104)</f>
        <v>0</v>
      </c>
    </row>
    <row r="105" spans="1:23" ht="16.5" hidden="1" x14ac:dyDescent="0.4">
      <c r="A105" s="58"/>
      <c r="B105" s="58"/>
      <c r="C105" s="58"/>
      <c r="D105" s="58"/>
      <c r="E105" s="58"/>
      <c r="F105" s="58"/>
      <c r="G105" s="58"/>
      <c r="H105" s="58"/>
      <c r="I105" s="93"/>
      <c r="J105" s="93"/>
      <c r="K105" s="58"/>
      <c r="L105" s="100">
        <f t="shared" si="37"/>
        <v>0</v>
      </c>
      <c r="M105" s="125">
        <f t="shared" si="44"/>
        <v>0</v>
      </c>
      <c r="N105" s="126">
        <f t="shared" si="45"/>
        <v>0</v>
      </c>
      <c r="O105" s="58"/>
      <c r="P105" s="58" t="e">
        <f t="shared" si="39"/>
        <v>#REF!</v>
      </c>
      <c r="Q105" s="66" t="b">
        <f t="shared" si="40"/>
        <v>1</v>
      </c>
      <c r="R105" s="100">
        <f t="shared" si="41"/>
        <v>0</v>
      </c>
      <c r="S105" s="100"/>
      <c r="T105" s="100">
        <f t="shared" ref="T105:T115" si="46">N105</f>
        <v>0</v>
      </c>
      <c r="U105" s="66" t="b">
        <f t="shared" si="42"/>
        <v>0</v>
      </c>
      <c r="V105" s="66" t="b">
        <f t="shared" si="43"/>
        <v>0</v>
      </c>
      <c r="W105" s="66" t="b">
        <f t="shared" ref="W105:W115" si="47">AND(U105,Q105,V105)</f>
        <v>0</v>
      </c>
    </row>
    <row r="106" spans="1:23" ht="16.5" hidden="1" x14ac:dyDescent="0.4">
      <c r="A106" s="58"/>
      <c r="B106" s="58"/>
      <c r="C106" s="58"/>
      <c r="D106" s="58"/>
      <c r="E106" s="58"/>
      <c r="F106" s="58"/>
      <c r="G106" s="58"/>
      <c r="H106" s="58"/>
      <c r="I106" s="93"/>
      <c r="J106" s="93"/>
      <c r="K106" s="58"/>
      <c r="L106" s="100">
        <f t="shared" si="37"/>
        <v>0</v>
      </c>
      <c r="M106" s="125">
        <f t="shared" si="44"/>
        <v>0</v>
      </c>
      <c r="N106" s="126">
        <f t="shared" si="45"/>
        <v>0</v>
      </c>
      <c r="O106" s="58"/>
      <c r="P106" s="58" t="e">
        <f t="shared" si="39"/>
        <v>#REF!</v>
      </c>
      <c r="Q106" s="66" t="b">
        <f t="shared" si="40"/>
        <v>1</v>
      </c>
      <c r="R106" s="100">
        <f t="shared" si="41"/>
        <v>0</v>
      </c>
      <c r="S106" s="100"/>
      <c r="T106" s="100">
        <f t="shared" si="46"/>
        <v>0</v>
      </c>
      <c r="U106" s="66" t="b">
        <f t="shared" si="42"/>
        <v>0</v>
      </c>
      <c r="V106" s="66" t="b">
        <f t="shared" si="43"/>
        <v>0</v>
      </c>
      <c r="W106" s="66" t="b">
        <f t="shared" si="47"/>
        <v>0</v>
      </c>
    </row>
    <row r="107" spans="1:23" ht="16.5" hidden="1" x14ac:dyDescent="0.4">
      <c r="A107" s="58"/>
      <c r="B107" s="58"/>
      <c r="C107" s="58"/>
      <c r="D107" s="58"/>
      <c r="E107" s="58"/>
      <c r="F107" s="58"/>
      <c r="G107" s="58"/>
      <c r="H107" s="58"/>
      <c r="I107" s="93"/>
      <c r="J107" s="93"/>
      <c r="K107" s="58"/>
      <c r="L107" s="100">
        <f t="shared" si="37"/>
        <v>0</v>
      </c>
      <c r="M107" s="125">
        <f t="shared" si="44"/>
        <v>0</v>
      </c>
      <c r="N107" s="126">
        <f>IF(L107&gt;=M107,M107,L107)</f>
        <v>0</v>
      </c>
      <c r="O107" s="58"/>
      <c r="P107" s="58" t="e">
        <f t="shared" si="39"/>
        <v>#REF!</v>
      </c>
      <c r="Q107" s="66" t="b">
        <f t="shared" si="40"/>
        <v>1</v>
      </c>
      <c r="R107" s="100">
        <f t="shared" si="41"/>
        <v>0</v>
      </c>
      <c r="S107" s="100"/>
      <c r="T107" s="100">
        <f t="shared" si="46"/>
        <v>0</v>
      </c>
      <c r="U107" s="66" t="b">
        <f t="shared" si="42"/>
        <v>0</v>
      </c>
      <c r="V107" s="66" t="b">
        <f t="shared" si="43"/>
        <v>0</v>
      </c>
      <c r="W107" s="66" t="b">
        <f t="shared" si="47"/>
        <v>0</v>
      </c>
    </row>
    <row r="108" spans="1:23" ht="16.5" hidden="1" x14ac:dyDescent="0.4">
      <c r="A108" s="58"/>
      <c r="B108" s="58"/>
      <c r="C108" s="58"/>
      <c r="D108" s="58"/>
      <c r="E108" s="58"/>
      <c r="F108" s="58"/>
      <c r="G108" s="58"/>
      <c r="H108" s="58"/>
      <c r="I108" s="93"/>
      <c r="J108" s="93"/>
      <c r="K108" s="58"/>
      <c r="L108" s="100">
        <f t="shared" si="37"/>
        <v>0</v>
      </c>
      <c r="M108" s="125">
        <f t="shared" si="44"/>
        <v>0</v>
      </c>
      <c r="N108" s="126">
        <f t="shared" si="45"/>
        <v>0</v>
      </c>
      <c r="O108" s="58"/>
      <c r="P108" s="58" t="e">
        <f t="shared" si="39"/>
        <v>#REF!</v>
      </c>
      <c r="Q108" s="66" t="b">
        <f t="shared" si="40"/>
        <v>1</v>
      </c>
      <c r="R108" s="100">
        <f t="shared" si="41"/>
        <v>0</v>
      </c>
      <c r="S108" s="100"/>
      <c r="T108" s="100">
        <f t="shared" si="46"/>
        <v>0</v>
      </c>
      <c r="U108" s="66" t="b">
        <f t="shared" si="42"/>
        <v>0</v>
      </c>
      <c r="V108" s="66" t="b">
        <f t="shared" si="43"/>
        <v>0</v>
      </c>
      <c r="W108" s="66" t="b">
        <f t="shared" si="47"/>
        <v>0</v>
      </c>
    </row>
    <row r="109" spans="1:23" ht="16.5" hidden="1" x14ac:dyDescent="0.4">
      <c r="A109" s="58"/>
      <c r="B109" s="58"/>
      <c r="C109" s="58"/>
      <c r="D109" s="58"/>
      <c r="E109" s="58"/>
      <c r="F109" s="58"/>
      <c r="G109" s="58"/>
      <c r="H109" s="58"/>
      <c r="I109" s="93"/>
      <c r="J109" s="93"/>
      <c r="K109" s="58"/>
      <c r="L109" s="100">
        <f t="shared" si="37"/>
        <v>0</v>
      </c>
      <c r="M109" s="125">
        <f t="shared" si="44"/>
        <v>0</v>
      </c>
      <c r="N109" s="126">
        <f t="shared" si="45"/>
        <v>0</v>
      </c>
      <c r="O109" s="58"/>
      <c r="P109" s="58" t="e">
        <f t="shared" si="39"/>
        <v>#REF!</v>
      </c>
      <c r="Q109" s="66" t="b">
        <f t="shared" si="40"/>
        <v>1</v>
      </c>
      <c r="R109" s="100">
        <f t="shared" si="41"/>
        <v>0</v>
      </c>
      <c r="S109" s="100"/>
      <c r="T109" s="100">
        <f t="shared" si="46"/>
        <v>0</v>
      </c>
      <c r="U109" s="66" t="b">
        <f t="shared" si="42"/>
        <v>0</v>
      </c>
      <c r="V109" s="66" t="b">
        <f t="shared" si="43"/>
        <v>0</v>
      </c>
      <c r="W109" s="66" t="b">
        <f t="shared" si="47"/>
        <v>0</v>
      </c>
    </row>
    <row r="110" spans="1:23" ht="16.5" hidden="1" x14ac:dyDescent="0.4">
      <c r="A110" s="58"/>
      <c r="B110" s="58"/>
      <c r="C110" s="58"/>
      <c r="D110" s="58"/>
      <c r="E110" s="58"/>
      <c r="F110" s="58"/>
      <c r="G110" s="58"/>
      <c r="H110" s="58"/>
      <c r="I110" s="93"/>
      <c r="J110" s="93"/>
      <c r="K110" s="58"/>
      <c r="L110" s="100">
        <f t="shared" si="37"/>
        <v>0</v>
      </c>
      <c r="M110" s="125">
        <f t="shared" si="44"/>
        <v>0</v>
      </c>
      <c r="N110" s="126">
        <f t="shared" si="45"/>
        <v>0</v>
      </c>
      <c r="O110" s="58"/>
      <c r="P110" s="58" t="e">
        <f t="shared" si="39"/>
        <v>#REF!</v>
      </c>
      <c r="Q110" s="66" t="b">
        <f t="shared" si="40"/>
        <v>1</v>
      </c>
      <c r="R110" s="100">
        <f t="shared" si="41"/>
        <v>0</v>
      </c>
      <c r="S110" s="100"/>
      <c r="T110" s="100">
        <f t="shared" si="46"/>
        <v>0</v>
      </c>
      <c r="U110" s="66" t="b">
        <f t="shared" si="42"/>
        <v>0</v>
      </c>
      <c r="V110" s="66" t="b">
        <f t="shared" si="43"/>
        <v>0</v>
      </c>
      <c r="W110" s="66" t="b">
        <f t="shared" si="47"/>
        <v>0</v>
      </c>
    </row>
    <row r="111" spans="1:23" ht="16.5" hidden="1" x14ac:dyDescent="0.4">
      <c r="A111" s="58"/>
      <c r="B111" s="58"/>
      <c r="C111" s="58"/>
      <c r="D111" s="58"/>
      <c r="E111" s="58"/>
      <c r="F111" s="58"/>
      <c r="G111" s="58"/>
      <c r="H111" s="58"/>
      <c r="I111" s="93"/>
      <c r="J111" s="93"/>
      <c r="K111" s="58"/>
      <c r="L111" s="100">
        <f t="shared" si="37"/>
        <v>0</v>
      </c>
      <c r="M111" s="125">
        <f t="shared" si="44"/>
        <v>0</v>
      </c>
      <c r="N111" s="126">
        <f t="shared" ref="N111" si="48">IF(L111&gt;=M111,M111,L111)</f>
        <v>0</v>
      </c>
      <c r="O111" s="58"/>
      <c r="P111" s="58" t="e">
        <f>J85</f>
        <v>#REF!</v>
      </c>
      <c r="Q111" s="66" t="b">
        <f t="shared" si="40"/>
        <v>1</v>
      </c>
      <c r="R111" s="100">
        <f t="shared" si="41"/>
        <v>0</v>
      </c>
      <c r="S111" s="100"/>
      <c r="T111" s="100">
        <f t="shared" ref="T111" si="49">N111</f>
        <v>0</v>
      </c>
      <c r="U111" s="66" t="b">
        <f t="shared" si="42"/>
        <v>0</v>
      </c>
      <c r="V111" s="66" t="b">
        <f t="shared" si="43"/>
        <v>0</v>
      </c>
      <c r="W111" s="66" t="b">
        <f t="shared" ref="W111" si="50">AND(U111,Q111,V111)</f>
        <v>0</v>
      </c>
    </row>
    <row r="112" spans="1:23" ht="16.5" hidden="1" x14ac:dyDescent="0.4">
      <c r="A112" s="58"/>
      <c r="B112" s="58"/>
      <c r="C112" s="58"/>
      <c r="D112" s="58"/>
      <c r="E112" s="58"/>
      <c r="F112" s="58"/>
      <c r="G112" s="58"/>
      <c r="H112" s="58"/>
      <c r="I112" s="93"/>
      <c r="J112" s="93"/>
      <c r="K112" s="58"/>
      <c r="L112" s="100">
        <f t="shared" si="37"/>
        <v>0</v>
      </c>
      <c r="M112" s="125">
        <f t="shared" si="44"/>
        <v>0</v>
      </c>
      <c r="N112" s="126">
        <f t="shared" si="45"/>
        <v>0</v>
      </c>
      <c r="O112" s="58"/>
      <c r="P112" s="58" t="e">
        <f t="shared" si="39"/>
        <v>#REF!</v>
      </c>
      <c r="Q112" s="66" t="b">
        <f t="shared" si="40"/>
        <v>1</v>
      </c>
      <c r="R112" s="100">
        <f t="shared" si="41"/>
        <v>0</v>
      </c>
      <c r="S112" s="100"/>
      <c r="T112" s="100">
        <f t="shared" si="46"/>
        <v>0</v>
      </c>
      <c r="U112" s="66" t="b">
        <f t="shared" si="42"/>
        <v>0</v>
      </c>
      <c r="V112" s="66" t="b">
        <f t="shared" si="43"/>
        <v>0</v>
      </c>
      <c r="W112" s="66" t="b">
        <f t="shared" si="47"/>
        <v>0</v>
      </c>
    </row>
    <row r="113" spans="1:32" ht="16.5" hidden="1" x14ac:dyDescent="0.4">
      <c r="A113" s="58"/>
      <c r="B113" s="58"/>
      <c r="C113" s="58"/>
      <c r="D113" s="58"/>
      <c r="E113" s="58"/>
      <c r="F113" s="58"/>
      <c r="G113" s="58"/>
      <c r="H113" s="58"/>
      <c r="I113" s="93"/>
      <c r="J113" s="93"/>
      <c r="K113" s="58"/>
      <c r="L113" s="100">
        <f t="shared" si="37"/>
        <v>0</v>
      </c>
      <c r="M113" s="125">
        <f t="shared" si="44"/>
        <v>0</v>
      </c>
      <c r="N113" s="126">
        <f t="shared" si="45"/>
        <v>0</v>
      </c>
      <c r="O113" s="58"/>
      <c r="P113" s="58" t="e">
        <f t="shared" si="39"/>
        <v>#REF!</v>
      </c>
      <c r="Q113" s="66" t="b">
        <f t="shared" si="40"/>
        <v>1</v>
      </c>
      <c r="R113" s="100">
        <f t="shared" si="41"/>
        <v>0</v>
      </c>
      <c r="S113" s="100"/>
      <c r="T113" s="100">
        <f t="shared" si="46"/>
        <v>0</v>
      </c>
      <c r="U113" s="66" t="b">
        <f t="shared" si="42"/>
        <v>0</v>
      </c>
      <c r="V113" s="66" t="b">
        <f t="shared" si="43"/>
        <v>0</v>
      </c>
      <c r="W113" s="66" t="b">
        <f t="shared" si="47"/>
        <v>0</v>
      </c>
    </row>
    <row r="114" spans="1:32" ht="16.5" hidden="1" x14ac:dyDescent="0.4">
      <c r="A114" s="58"/>
      <c r="B114" s="58"/>
      <c r="C114" s="58"/>
      <c r="D114" s="58"/>
      <c r="E114" s="58"/>
      <c r="F114" s="58"/>
      <c r="G114" s="58"/>
      <c r="H114" s="58"/>
      <c r="I114" s="93"/>
      <c r="J114" s="93"/>
      <c r="K114" s="58"/>
      <c r="L114" s="100">
        <f t="shared" si="37"/>
        <v>0</v>
      </c>
      <c r="M114" s="125">
        <f t="shared" si="44"/>
        <v>0</v>
      </c>
      <c r="N114" s="126">
        <f t="shared" si="45"/>
        <v>0</v>
      </c>
      <c r="O114" s="58"/>
      <c r="P114" s="58" t="e">
        <f t="shared" si="39"/>
        <v>#REF!</v>
      </c>
      <c r="Q114" s="66" t="b">
        <f t="shared" si="40"/>
        <v>1</v>
      </c>
      <c r="R114" s="100">
        <f t="shared" si="41"/>
        <v>0</v>
      </c>
      <c r="S114" s="100"/>
      <c r="T114" s="100">
        <f t="shared" si="46"/>
        <v>0</v>
      </c>
      <c r="U114" s="66" t="b">
        <f t="shared" si="42"/>
        <v>0</v>
      </c>
      <c r="V114" s="66" t="b">
        <f t="shared" si="43"/>
        <v>0</v>
      </c>
      <c r="W114" s="66" t="b">
        <f t="shared" si="47"/>
        <v>0</v>
      </c>
    </row>
    <row r="115" spans="1:32" ht="16.5" hidden="1" x14ac:dyDescent="0.4">
      <c r="A115" s="58"/>
      <c r="B115" s="58"/>
      <c r="C115" s="58"/>
      <c r="D115" s="58"/>
      <c r="E115" s="58"/>
      <c r="F115" s="58"/>
      <c r="G115" s="58"/>
      <c r="H115" s="58"/>
      <c r="I115" s="93"/>
      <c r="J115" s="93"/>
      <c r="K115" s="58"/>
      <c r="L115" s="100">
        <f t="shared" si="37"/>
        <v>0</v>
      </c>
      <c r="M115" s="125">
        <f t="shared" si="44"/>
        <v>0</v>
      </c>
      <c r="N115" s="126">
        <f t="shared" si="45"/>
        <v>0</v>
      </c>
      <c r="O115" s="58"/>
      <c r="P115" s="58" t="e">
        <f t="shared" si="39"/>
        <v>#REF!</v>
      </c>
      <c r="Q115" s="66" t="b">
        <f t="shared" si="40"/>
        <v>1</v>
      </c>
      <c r="R115" s="100">
        <f t="shared" si="41"/>
        <v>0</v>
      </c>
      <c r="S115" s="100"/>
      <c r="T115" s="100">
        <f t="shared" si="46"/>
        <v>0</v>
      </c>
      <c r="U115" s="66" t="b">
        <f t="shared" si="42"/>
        <v>0</v>
      </c>
      <c r="V115" s="66" t="b">
        <f t="shared" si="43"/>
        <v>0</v>
      </c>
      <c r="W115" s="66" t="b">
        <f t="shared" si="47"/>
        <v>0</v>
      </c>
    </row>
    <row r="116" spans="1:32" ht="16.5" hidden="1" x14ac:dyDescent="0.4">
      <c r="A116" s="58"/>
      <c r="B116" s="58"/>
      <c r="C116" s="58"/>
      <c r="D116" s="58"/>
      <c r="E116" s="58"/>
      <c r="F116" s="58"/>
      <c r="G116" s="58"/>
      <c r="H116" s="58"/>
      <c r="I116" s="93"/>
      <c r="J116" s="93"/>
      <c r="K116" s="58"/>
      <c r="L116" s="100">
        <f t="shared" si="37"/>
        <v>0</v>
      </c>
      <c r="M116" s="125">
        <f t="shared" si="44"/>
        <v>0</v>
      </c>
      <c r="N116" s="126">
        <f t="shared" si="45"/>
        <v>0</v>
      </c>
      <c r="O116" s="58"/>
      <c r="P116" s="58" t="e">
        <f t="shared" si="39"/>
        <v>#REF!</v>
      </c>
      <c r="Q116" s="66" t="b">
        <f t="shared" si="40"/>
        <v>1</v>
      </c>
      <c r="R116" s="100">
        <f t="shared" si="41"/>
        <v>0</v>
      </c>
      <c r="S116" s="100"/>
      <c r="T116" s="100">
        <f t="shared" ref="T116" si="51">N116</f>
        <v>0</v>
      </c>
      <c r="U116" s="66" t="b">
        <f t="shared" si="42"/>
        <v>0</v>
      </c>
      <c r="V116" s="66" t="b">
        <f t="shared" si="43"/>
        <v>0</v>
      </c>
      <c r="W116" s="66" t="b">
        <f t="shared" ref="W116" si="52">AND(U116,Q116,V116)</f>
        <v>0</v>
      </c>
    </row>
    <row r="117" spans="1:32" ht="16.5" hidden="1" x14ac:dyDescent="0.15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 t="s">
        <v>133</v>
      </c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</row>
    <row r="118" spans="1:32" ht="16.5" hidden="1" x14ac:dyDescent="0.15">
      <c r="A118" s="84"/>
      <c r="B118" s="84" t="s">
        <v>41</v>
      </c>
      <c r="C118" s="84" t="s">
        <v>42</v>
      </c>
      <c r="D118" s="84" t="s">
        <v>43</v>
      </c>
      <c r="E118" s="84" t="s">
        <v>143</v>
      </c>
      <c r="F118" s="84" t="s">
        <v>137</v>
      </c>
      <c r="G118" s="58"/>
      <c r="H118" s="58"/>
      <c r="I118" s="58"/>
      <c r="J118" s="58"/>
      <c r="K118" s="127"/>
      <c r="L118" s="127">
        <f>L58</f>
        <v>1</v>
      </c>
      <c r="M118" s="127">
        <f t="shared" ref="M118:AF118" si="53">M58</f>
        <v>2</v>
      </c>
      <c r="N118" s="127">
        <f t="shared" si="53"/>
        <v>0</v>
      </c>
      <c r="O118" s="127">
        <f t="shared" si="53"/>
        <v>0</v>
      </c>
      <c r="P118" s="127">
        <f t="shared" si="53"/>
        <v>3</v>
      </c>
      <c r="Q118" s="127">
        <f t="shared" si="53"/>
        <v>4</v>
      </c>
      <c r="R118" s="127">
        <f t="shared" si="53"/>
        <v>5</v>
      </c>
      <c r="S118" s="127">
        <f t="shared" si="53"/>
        <v>6</v>
      </c>
      <c r="T118" s="127">
        <f t="shared" si="53"/>
        <v>7</v>
      </c>
      <c r="U118" s="127">
        <f t="shared" si="53"/>
        <v>8</v>
      </c>
      <c r="V118" s="127">
        <f t="shared" si="53"/>
        <v>9</v>
      </c>
      <c r="W118" s="127">
        <f t="shared" si="53"/>
        <v>10</v>
      </c>
      <c r="X118" s="127">
        <f t="shared" si="53"/>
        <v>11</v>
      </c>
      <c r="Y118" s="127">
        <f t="shared" si="53"/>
        <v>12</v>
      </c>
      <c r="Z118" s="127">
        <f t="shared" si="53"/>
        <v>13</v>
      </c>
      <c r="AA118" s="127">
        <f t="shared" si="53"/>
        <v>14</v>
      </c>
      <c r="AB118" s="127">
        <f t="shared" si="53"/>
        <v>0</v>
      </c>
      <c r="AC118" s="127">
        <f t="shared" si="53"/>
        <v>0</v>
      </c>
      <c r="AD118" s="127">
        <f t="shared" si="53"/>
        <v>0</v>
      </c>
      <c r="AE118" s="127">
        <f t="shared" si="53"/>
        <v>0</v>
      </c>
      <c r="AF118" s="127">
        <f t="shared" si="53"/>
        <v>0</v>
      </c>
    </row>
    <row r="119" spans="1:32" ht="16.5" hidden="1" x14ac:dyDescent="0.15">
      <c r="A119" s="84" t="s">
        <v>44</v>
      </c>
      <c r="B119" s="55">
        <f t="shared" ref="B119:F121" si="54">C52</f>
        <v>5.8660789011116056E-9</v>
      </c>
      <c r="C119" s="55">
        <f t="shared" si="54"/>
        <v>5.3327031597113841</v>
      </c>
      <c r="D119" s="55">
        <f t="shared" si="54"/>
        <v>-1.3156626251418994E-6</v>
      </c>
      <c r="E119" s="55">
        <f t="shared" si="54"/>
        <v>5.0684039881566125E-7</v>
      </c>
      <c r="F119" s="55">
        <f t="shared" si="54"/>
        <v>2.6927154478637799E-6</v>
      </c>
      <c r="G119" s="58"/>
      <c r="H119" s="60" t="s">
        <v>1</v>
      </c>
      <c r="I119" s="60" t="s">
        <v>2</v>
      </c>
      <c r="J119" s="58"/>
      <c r="K119" s="127" t="s">
        <v>47</v>
      </c>
      <c r="L119" s="127" t="str">
        <f>L59</f>
        <v>5000K,70Min</v>
      </c>
      <c r="M119" s="127" t="str">
        <f t="shared" ref="M119:AF119" si="55">M59</f>
        <v>4000K,70Min</v>
      </c>
      <c r="N119" s="127" t="e">
        <f t="shared" si="55"/>
        <v>#REF!</v>
      </c>
      <c r="O119" s="127" t="e">
        <f t="shared" si="55"/>
        <v>#REF!</v>
      </c>
      <c r="P119" s="127" t="str">
        <f t="shared" si="55"/>
        <v>5700K,80Min</v>
      </c>
      <c r="Q119" s="127" t="str">
        <f t="shared" si="55"/>
        <v>5000K,80Min</v>
      </c>
      <c r="R119" s="127" t="str">
        <f t="shared" si="55"/>
        <v>4000K,80Min</v>
      </c>
      <c r="S119" s="127" t="str">
        <f t="shared" si="55"/>
        <v>3500K,80Min</v>
      </c>
      <c r="T119" s="127" t="str">
        <f t="shared" si="55"/>
        <v>3000K,80Min</v>
      </c>
      <c r="U119" s="127" t="str">
        <f t="shared" si="55"/>
        <v>2700K,80Min</v>
      </c>
      <c r="V119" s="127" t="str">
        <f t="shared" si="55"/>
        <v>5700K,90Min On BBL</v>
      </c>
      <c r="W119" s="127" t="str">
        <f t="shared" si="55"/>
        <v>5000K,90Min On BBL</v>
      </c>
      <c r="X119" s="127" t="str">
        <f t="shared" si="55"/>
        <v>4000K,90Min On BBL</v>
      </c>
      <c r="Y119" s="127" t="str">
        <f t="shared" si="55"/>
        <v>3500K,90Min On BBL</v>
      </c>
      <c r="Z119" s="127" t="str">
        <f t="shared" si="55"/>
        <v>3000K,90Min On BBL</v>
      </c>
      <c r="AA119" s="127" t="str">
        <f t="shared" si="55"/>
        <v>2700K,90Min On BBL</v>
      </c>
      <c r="AB119" s="127" t="e">
        <f t="shared" si="55"/>
        <v>#REF!</v>
      </c>
      <c r="AC119" s="127" t="e">
        <f t="shared" si="55"/>
        <v>#REF!</v>
      </c>
      <c r="AD119" s="127" t="e">
        <f t="shared" si="55"/>
        <v>#REF!</v>
      </c>
      <c r="AE119" s="127" t="e">
        <f t="shared" si="55"/>
        <v>#REF!</v>
      </c>
      <c r="AF119" s="127" t="e">
        <f t="shared" si="55"/>
        <v>#REF!</v>
      </c>
    </row>
    <row r="120" spans="1:32" ht="16.5" hidden="1" x14ac:dyDescent="0.15">
      <c r="A120" s="84" t="s">
        <v>45</v>
      </c>
      <c r="B120" s="55">
        <f t="shared" si="54"/>
        <v>-7.3829104484335147E-6</v>
      </c>
      <c r="C120" s="55">
        <f t="shared" si="54"/>
        <v>23.176119910685827</v>
      </c>
      <c r="D120" s="55">
        <f t="shared" si="54"/>
        <v>1.1981024975959702E-3</v>
      </c>
      <c r="E120" s="55">
        <f t="shared" si="54"/>
        <v>-1.711094481396001E-3</v>
      </c>
      <c r="F120" s="55">
        <f t="shared" si="54"/>
        <v>-7.7823048568234599E-4</v>
      </c>
      <c r="G120" s="58">
        <f>H120*I120</f>
        <v>16</v>
      </c>
      <c r="H120" s="58">
        <f t="shared" ref="H120:I127" si="56">H60</f>
        <v>4</v>
      </c>
      <c r="I120" s="58">
        <f t="shared" si="56"/>
        <v>4</v>
      </c>
      <c r="J120" s="58" t="str">
        <f>B2</f>
        <v>PSL440-0404C4</v>
      </c>
      <c r="K120" s="128">
        <f t="shared" ref="K120:P127" si="57">K60</f>
        <v>12.209672396366903</v>
      </c>
      <c r="L120" s="78">
        <f t="shared" si="57"/>
        <v>1080.2088707303838</v>
      </c>
      <c r="M120" s="78">
        <f t="shared" si="57"/>
        <v>1063.3470737238606</v>
      </c>
      <c r="N120" s="78">
        <f t="shared" si="57"/>
        <v>0</v>
      </c>
      <c r="O120" s="78">
        <f t="shared" si="57"/>
        <v>0</v>
      </c>
      <c r="P120" s="78">
        <f t="shared" si="57"/>
        <v>990.63057413322986</v>
      </c>
      <c r="Q120" s="78">
        <f t="shared" ref="Q120:V133" si="58">Q60</f>
        <v>969.55332787507609</v>
      </c>
      <c r="R120" s="78">
        <f t="shared" si="58"/>
        <v>948.47608161692222</v>
      </c>
      <c r="S120" s="78">
        <f t="shared" si="58"/>
        <v>943.20677005238372</v>
      </c>
      <c r="T120" s="78">
        <f t="shared" si="58"/>
        <v>922.12952379422995</v>
      </c>
      <c r="U120" s="78">
        <f t="shared" si="58"/>
        <v>885.2443428424607</v>
      </c>
      <c r="V120" s="78">
        <f t="shared" si="58"/>
        <v>795.66604624530703</v>
      </c>
      <c r="W120" s="78">
        <f t="shared" ref="W120:AF133" si="59">W60</f>
        <v>774.58879998715315</v>
      </c>
      <c r="X120" s="78">
        <f t="shared" si="59"/>
        <v>769.31948842261465</v>
      </c>
      <c r="Y120" s="78">
        <f t="shared" si="59"/>
        <v>764.05017685807627</v>
      </c>
      <c r="Z120" s="78">
        <f t="shared" si="59"/>
        <v>753.51155372899927</v>
      </c>
      <c r="AA120" s="78">
        <f t="shared" si="59"/>
        <v>711.35706121269163</v>
      </c>
      <c r="AB120" s="78">
        <f t="shared" si="59"/>
        <v>0</v>
      </c>
      <c r="AC120" s="78">
        <f t="shared" si="59"/>
        <v>0</v>
      </c>
      <c r="AD120" s="78">
        <f t="shared" si="59"/>
        <v>0</v>
      </c>
      <c r="AE120" s="78">
        <f t="shared" si="59"/>
        <v>0</v>
      </c>
      <c r="AF120" s="78">
        <f t="shared" si="59"/>
        <v>0</v>
      </c>
    </row>
    <row r="121" spans="1:32" ht="16.5" hidden="1" x14ac:dyDescent="0.15">
      <c r="A121" s="84" t="s">
        <v>46</v>
      </c>
      <c r="B121" s="55">
        <f t="shared" si="54"/>
        <v>6.8378119713105546E-3</v>
      </c>
      <c r="C121" s="55">
        <f t="shared" si="54"/>
        <v>146.1904923506861</v>
      </c>
      <c r="D121" s="55">
        <f t="shared" si="54"/>
        <v>0.83062423081567605</v>
      </c>
      <c r="E121" s="55">
        <f t="shared" si="54"/>
        <v>1.0424605867856402</v>
      </c>
      <c r="F121" s="55">
        <f t="shared" si="54"/>
        <v>1.0177728149871439</v>
      </c>
      <c r="G121" s="58">
        <f>H121*I121</f>
        <v>20</v>
      </c>
      <c r="H121" s="58">
        <f t="shared" si="56"/>
        <v>4</v>
      </c>
      <c r="I121" s="58">
        <f t="shared" si="56"/>
        <v>5</v>
      </c>
      <c r="J121" s="58" t="str">
        <f>B3</f>
        <v>PSL445-0405C4</v>
      </c>
      <c r="K121" s="128">
        <f t="shared" si="57"/>
        <v>11.488122604501358</v>
      </c>
      <c r="L121" s="78" t="e">
        <f t="shared" si="57"/>
        <v>#DIV/0!</v>
      </c>
      <c r="M121" s="78" t="e">
        <f t="shared" si="57"/>
        <v>#DIV/0!</v>
      </c>
      <c r="N121" s="78" t="e">
        <f t="shared" si="57"/>
        <v>#DIV/0!</v>
      </c>
      <c r="O121" s="78" t="e">
        <f t="shared" si="57"/>
        <v>#DIV/0!</v>
      </c>
      <c r="P121" s="78" t="e">
        <f t="shared" si="57"/>
        <v>#DIV/0!</v>
      </c>
      <c r="Q121" s="78" t="e">
        <f t="shared" si="58"/>
        <v>#DIV/0!</v>
      </c>
      <c r="R121" s="78" t="e">
        <f t="shared" si="58"/>
        <v>#DIV/0!</v>
      </c>
      <c r="S121" s="78" t="e">
        <f t="shared" si="58"/>
        <v>#DIV/0!</v>
      </c>
      <c r="T121" s="78" t="e">
        <f t="shared" si="58"/>
        <v>#DIV/0!</v>
      </c>
      <c r="U121" s="78" t="e">
        <f t="shared" si="58"/>
        <v>#DIV/0!</v>
      </c>
      <c r="V121" s="78" t="e">
        <f t="shared" si="58"/>
        <v>#DIV/0!</v>
      </c>
      <c r="W121" s="78" t="e">
        <f t="shared" si="59"/>
        <v>#DIV/0!</v>
      </c>
      <c r="X121" s="78" t="e">
        <f t="shared" si="59"/>
        <v>#DIV/0!</v>
      </c>
      <c r="Y121" s="78" t="e">
        <f t="shared" si="59"/>
        <v>#DIV/0!</v>
      </c>
      <c r="Z121" s="78" t="e">
        <f t="shared" si="59"/>
        <v>#DIV/0!</v>
      </c>
      <c r="AA121" s="78" t="e">
        <f t="shared" si="59"/>
        <v>#DIV/0!</v>
      </c>
      <c r="AB121" s="78">
        <f t="shared" si="59"/>
        <v>0</v>
      </c>
      <c r="AC121" s="78">
        <f t="shared" si="59"/>
        <v>0</v>
      </c>
      <c r="AD121" s="78">
        <f t="shared" si="59"/>
        <v>0</v>
      </c>
      <c r="AE121" s="78">
        <f t="shared" si="59"/>
        <v>0</v>
      </c>
      <c r="AF121" s="78">
        <f t="shared" si="59"/>
        <v>0</v>
      </c>
    </row>
    <row r="122" spans="1:32" ht="16.5" hidden="1" x14ac:dyDescent="0.15">
      <c r="A122" s="89" t="s">
        <v>57</v>
      </c>
      <c r="B122" s="55">
        <f>C55</f>
        <v>-1.9539791067156725E-3</v>
      </c>
      <c r="C122" s="55">
        <f>D55</f>
        <v>0.30007967332267826</v>
      </c>
      <c r="D122" s="58"/>
      <c r="E122" s="55"/>
      <c r="F122" s="58"/>
      <c r="G122" s="58">
        <f t="shared" ref="G122:G132" si="60">H122*I122</f>
        <v>0</v>
      </c>
      <c r="H122" s="58">
        <f t="shared" si="56"/>
        <v>0</v>
      </c>
      <c r="I122" s="58">
        <f t="shared" si="56"/>
        <v>0</v>
      </c>
      <c r="J122" s="58" t="e">
        <f>#REF!</f>
        <v>#REF!</v>
      </c>
      <c r="K122" s="128" t="e">
        <f t="shared" si="57"/>
        <v>#REF!</v>
      </c>
      <c r="L122" s="78">
        <f t="shared" si="57"/>
        <v>0</v>
      </c>
      <c r="M122" s="78">
        <f t="shared" si="57"/>
        <v>0</v>
      </c>
      <c r="N122" s="78">
        <f t="shared" si="57"/>
        <v>0</v>
      </c>
      <c r="O122" s="78">
        <f t="shared" si="57"/>
        <v>0</v>
      </c>
      <c r="P122" s="78">
        <f t="shared" si="57"/>
        <v>0</v>
      </c>
      <c r="Q122" s="78">
        <f t="shared" si="58"/>
        <v>0</v>
      </c>
      <c r="R122" s="78">
        <f t="shared" si="58"/>
        <v>0</v>
      </c>
      <c r="S122" s="78">
        <f t="shared" si="58"/>
        <v>0</v>
      </c>
      <c r="T122" s="78">
        <f t="shared" si="58"/>
        <v>0</v>
      </c>
      <c r="U122" s="78">
        <f t="shared" si="58"/>
        <v>0</v>
      </c>
      <c r="V122" s="78">
        <f t="shared" si="58"/>
        <v>0</v>
      </c>
      <c r="W122" s="78">
        <f t="shared" si="59"/>
        <v>0</v>
      </c>
      <c r="X122" s="78">
        <f t="shared" si="59"/>
        <v>0</v>
      </c>
      <c r="Y122" s="78">
        <f t="shared" si="59"/>
        <v>0</v>
      </c>
      <c r="Z122" s="78">
        <f t="shared" si="59"/>
        <v>0</v>
      </c>
      <c r="AA122" s="78">
        <f>AA62</f>
        <v>0</v>
      </c>
      <c r="AB122" s="78">
        <f t="shared" ref="AB122:AF122" si="61">AB62</f>
        <v>0</v>
      </c>
      <c r="AC122" s="78">
        <f t="shared" si="61"/>
        <v>0</v>
      </c>
      <c r="AD122" s="78">
        <f t="shared" si="61"/>
        <v>0</v>
      </c>
      <c r="AE122" s="78">
        <f t="shared" si="61"/>
        <v>0</v>
      </c>
      <c r="AF122" s="78">
        <f t="shared" si="61"/>
        <v>0</v>
      </c>
    </row>
    <row r="123" spans="1:32" ht="16.5" hidden="1" x14ac:dyDescent="0.15">
      <c r="A123" s="58"/>
      <c r="B123" s="58"/>
      <c r="C123" s="58"/>
      <c r="D123" s="58" t="s">
        <v>55</v>
      </c>
      <c r="E123" s="99">
        <f>Simulator!G6</f>
        <v>350</v>
      </c>
      <c r="G123" s="58">
        <f t="shared" si="60"/>
        <v>0</v>
      </c>
      <c r="H123" s="58">
        <f t="shared" si="56"/>
        <v>0</v>
      </c>
      <c r="I123" s="58">
        <f t="shared" si="56"/>
        <v>0</v>
      </c>
      <c r="J123" s="58" t="e">
        <f>#REF!</f>
        <v>#REF!</v>
      </c>
      <c r="K123" s="128" t="e">
        <f t="shared" si="57"/>
        <v>#REF!</v>
      </c>
      <c r="L123" s="78">
        <f t="shared" si="57"/>
        <v>0</v>
      </c>
      <c r="M123" s="78">
        <f t="shared" si="57"/>
        <v>0</v>
      </c>
      <c r="N123" s="78">
        <f t="shared" si="57"/>
        <v>0</v>
      </c>
      <c r="O123" s="78">
        <f t="shared" si="57"/>
        <v>0</v>
      </c>
      <c r="P123" s="78">
        <f t="shared" si="57"/>
        <v>0</v>
      </c>
      <c r="Q123" s="78">
        <f t="shared" si="58"/>
        <v>0</v>
      </c>
      <c r="R123" s="78">
        <f t="shared" si="58"/>
        <v>0</v>
      </c>
      <c r="S123" s="78">
        <f t="shared" si="58"/>
        <v>0</v>
      </c>
      <c r="T123" s="78">
        <f t="shared" si="58"/>
        <v>0</v>
      </c>
      <c r="U123" s="78">
        <f t="shared" si="58"/>
        <v>0</v>
      </c>
      <c r="V123" s="78">
        <f t="shared" si="58"/>
        <v>0</v>
      </c>
      <c r="W123" s="78">
        <f t="shared" si="59"/>
        <v>0</v>
      </c>
      <c r="X123" s="78">
        <f t="shared" si="59"/>
        <v>0</v>
      </c>
      <c r="Y123" s="78">
        <f t="shared" si="59"/>
        <v>0</v>
      </c>
      <c r="Z123" s="78">
        <f t="shared" si="59"/>
        <v>0</v>
      </c>
      <c r="AA123" s="78">
        <f t="shared" si="59"/>
        <v>0</v>
      </c>
      <c r="AB123" s="78">
        <f t="shared" si="59"/>
        <v>0</v>
      </c>
      <c r="AC123" s="78">
        <f t="shared" si="59"/>
        <v>0</v>
      </c>
      <c r="AD123" s="78">
        <f t="shared" si="59"/>
        <v>0</v>
      </c>
      <c r="AE123" s="78">
        <f t="shared" si="59"/>
        <v>0</v>
      </c>
      <c r="AF123" s="78">
        <f t="shared" si="59"/>
        <v>0</v>
      </c>
    </row>
    <row r="124" spans="1:32" ht="16.5" hidden="1" x14ac:dyDescent="0.15">
      <c r="A124" s="58"/>
      <c r="B124" s="94"/>
      <c r="C124" s="94"/>
      <c r="D124" s="58"/>
      <c r="E124" s="58"/>
      <c r="G124" s="58">
        <f t="shared" si="60"/>
        <v>0</v>
      </c>
      <c r="H124" s="58">
        <f t="shared" si="56"/>
        <v>0</v>
      </c>
      <c r="I124" s="58">
        <f t="shared" si="56"/>
        <v>0</v>
      </c>
      <c r="J124" s="58" t="e">
        <f>#REF!</f>
        <v>#REF!</v>
      </c>
      <c r="K124" s="128" t="e">
        <f t="shared" si="57"/>
        <v>#REF!</v>
      </c>
      <c r="L124" s="78">
        <f t="shared" si="57"/>
        <v>0</v>
      </c>
      <c r="M124" s="78">
        <f t="shared" si="57"/>
        <v>0</v>
      </c>
      <c r="N124" s="78">
        <f t="shared" si="57"/>
        <v>0</v>
      </c>
      <c r="O124" s="78">
        <f t="shared" si="57"/>
        <v>0</v>
      </c>
      <c r="P124" s="78">
        <f t="shared" si="57"/>
        <v>0</v>
      </c>
      <c r="Q124" s="78">
        <f t="shared" si="58"/>
        <v>0</v>
      </c>
      <c r="R124" s="78">
        <f t="shared" si="58"/>
        <v>0</v>
      </c>
      <c r="S124" s="78">
        <f t="shared" si="58"/>
        <v>0</v>
      </c>
      <c r="T124" s="78">
        <f t="shared" si="58"/>
        <v>0</v>
      </c>
      <c r="U124" s="78">
        <f t="shared" si="58"/>
        <v>0</v>
      </c>
      <c r="V124" s="78">
        <f t="shared" si="58"/>
        <v>0</v>
      </c>
      <c r="W124" s="78">
        <f t="shared" si="59"/>
        <v>0</v>
      </c>
      <c r="X124" s="78">
        <f t="shared" si="59"/>
        <v>0</v>
      </c>
      <c r="Y124" s="78">
        <f t="shared" si="59"/>
        <v>0</v>
      </c>
      <c r="Z124" s="78">
        <f t="shared" si="59"/>
        <v>0</v>
      </c>
      <c r="AA124" s="78">
        <f t="shared" si="59"/>
        <v>0</v>
      </c>
      <c r="AB124" s="78">
        <f t="shared" si="59"/>
        <v>0</v>
      </c>
      <c r="AC124" s="78">
        <f t="shared" si="59"/>
        <v>0</v>
      </c>
      <c r="AD124" s="78">
        <f t="shared" si="59"/>
        <v>0</v>
      </c>
      <c r="AE124" s="78">
        <f t="shared" si="59"/>
        <v>0</v>
      </c>
      <c r="AF124" s="78">
        <f t="shared" si="59"/>
        <v>0</v>
      </c>
    </row>
    <row r="125" spans="1:32" ht="16.5" hidden="1" x14ac:dyDescent="0.15">
      <c r="A125" s="58"/>
      <c r="B125" s="100"/>
      <c r="C125" s="76"/>
      <c r="D125" s="58" t="s">
        <v>138</v>
      </c>
      <c r="E125" s="121">
        <f>Simulator!L6</f>
        <v>25</v>
      </c>
      <c r="G125" s="58">
        <f t="shared" si="60"/>
        <v>0</v>
      </c>
      <c r="H125" s="58">
        <f t="shared" si="56"/>
        <v>0</v>
      </c>
      <c r="I125" s="58">
        <f t="shared" si="56"/>
        <v>0</v>
      </c>
      <c r="J125" s="58" t="e">
        <f>#REF!</f>
        <v>#REF!</v>
      </c>
      <c r="K125" s="128" t="e">
        <f t="shared" si="57"/>
        <v>#REF!</v>
      </c>
      <c r="L125" s="78">
        <f t="shared" si="57"/>
        <v>0</v>
      </c>
      <c r="M125" s="78">
        <f t="shared" si="57"/>
        <v>0</v>
      </c>
      <c r="N125" s="78">
        <f t="shared" si="57"/>
        <v>0</v>
      </c>
      <c r="O125" s="78">
        <f t="shared" si="57"/>
        <v>0</v>
      </c>
      <c r="P125" s="78">
        <f t="shared" si="57"/>
        <v>0</v>
      </c>
      <c r="Q125" s="78">
        <f t="shared" si="58"/>
        <v>0</v>
      </c>
      <c r="R125" s="78">
        <f t="shared" si="58"/>
        <v>0</v>
      </c>
      <c r="S125" s="78">
        <f t="shared" si="58"/>
        <v>0</v>
      </c>
      <c r="T125" s="78">
        <f t="shared" si="58"/>
        <v>0</v>
      </c>
      <c r="U125" s="78">
        <f t="shared" si="58"/>
        <v>0</v>
      </c>
      <c r="V125" s="78">
        <f t="shared" si="58"/>
        <v>0</v>
      </c>
      <c r="W125" s="78">
        <f t="shared" si="59"/>
        <v>0</v>
      </c>
      <c r="X125" s="78">
        <f t="shared" si="59"/>
        <v>0</v>
      </c>
      <c r="Y125" s="78">
        <f t="shared" si="59"/>
        <v>0</v>
      </c>
      <c r="Z125" s="78">
        <f t="shared" si="59"/>
        <v>0</v>
      </c>
      <c r="AA125" s="78">
        <f t="shared" si="59"/>
        <v>0</v>
      </c>
      <c r="AB125" s="78">
        <f t="shared" ref="AB125" si="62">AB65</f>
        <v>0</v>
      </c>
      <c r="AC125" s="78">
        <f t="shared" ref="AC125:AF125" si="63">AC65</f>
        <v>0</v>
      </c>
      <c r="AD125" s="78">
        <f t="shared" si="63"/>
        <v>0</v>
      </c>
      <c r="AE125" s="78">
        <f t="shared" si="63"/>
        <v>0</v>
      </c>
      <c r="AF125" s="78">
        <f t="shared" si="63"/>
        <v>0</v>
      </c>
    </row>
    <row r="126" spans="1:32" ht="16.5" hidden="1" x14ac:dyDescent="0.15">
      <c r="A126" s="58"/>
      <c r="B126" s="58"/>
      <c r="C126" s="58"/>
      <c r="D126" s="58"/>
      <c r="E126" s="58"/>
      <c r="G126" s="58">
        <f t="shared" si="60"/>
        <v>0</v>
      </c>
      <c r="H126" s="58">
        <f t="shared" si="56"/>
        <v>0</v>
      </c>
      <c r="I126" s="58">
        <f t="shared" si="56"/>
        <v>0</v>
      </c>
      <c r="J126" s="58" t="e">
        <f>#REF!</f>
        <v>#REF!</v>
      </c>
      <c r="K126" s="128" t="e">
        <f t="shared" si="57"/>
        <v>#REF!</v>
      </c>
      <c r="L126" s="78">
        <f t="shared" si="57"/>
        <v>0</v>
      </c>
      <c r="M126" s="78">
        <f t="shared" si="57"/>
        <v>0</v>
      </c>
      <c r="N126" s="78">
        <f t="shared" si="57"/>
        <v>0</v>
      </c>
      <c r="O126" s="78">
        <f t="shared" si="57"/>
        <v>0</v>
      </c>
      <c r="P126" s="78">
        <f t="shared" ref="P126" si="64">P66</f>
        <v>0</v>
      </c>
      <c r="Q126" s="78">
        <f t="shared" si="58"/>
        <v>0</v>
      </c>
      <c r="R126" s="78">
        <f t="shared" si="58"/>
        <v>0</v>
      </c>
      <c r="S126" s="78">
        <f t="shared" si="58"/>
        <v>0</v>
      </c>
      <c r="T126" s="78">
        <f t="shared" si="58"/>
        <v>0</v>
      </c>
      <c r="U126" s="78">
        <f t="shared" si="58"/>
        <v>0</v>
      </c>
      <c r="V126" s="78">
        <f t="shared" ref="V126:V133" si="65">V66</f>
        <v>0</v>
      </c>
      <c r="W126" s="78">
        <f t="shared" si="59"/>
        <v>0</v>
      </c>
      <c r="X126" s="78">
        <f t="shared" si="59"/>
        <v>0</v>
      </c>
      <c r="Y126" s="78">
        <f t="shared" si="59"/>
        <v>0</v>
      </c>
      <c r="Z126" s="78">
        <f t="shared" si="59"/>
        <v>0</v>
      </c>
      <c r="AA126" s="78">
        <f t="shared" si="59"/>
        <v>0</v>
      </c>
      <c r="AB126" s="78">
        <f t="shared" si="59"/>
        <v>0</v>
      </c>
      <c r="AC126" s="78">
        <f t="shared" si="59"/>
        <v>0</v>
      </c>
      <c r="AD126" s="78">
        <f t="shared" si="59"/>
        <v>0</v>
      </c>
      <c r="AE126" s="78">
        <f t="shared" si="59"/>
        <v>0</v>
      </c>
      <c r="AF126" s="78">
        <f t="shared" si="59"/>
        <v>0</v>
      </c>
    </row>
    <row r="127" spans="1:32" ht="16.5" hidden="1" x14ac:dyDescent="0.15">
      <c r="A127" s="58"/>
      <c r="B127" s="58"/>
      <c r="C127" s="59"/>
      <c r="G127" s="58">
        <f t="shared" si="60"/>
        <v>0</v>
      </c>
      <c r="H127" s="58">
        <f t="shared" si="56"/>
        <v>0</v>
      </c>
      <c r="I127" s="58">
        <f t="shared" si="56"/>
        <v>0</v>
      </c>
      <c r="J127" s="58" t="e">
        <f>#REF!</f>
        <v>#REF!</v>
      </c>
      <c r="K127" s="128" t="e">
        <f t="shared" si="57"/>
        <v>#REF!</v>
      </c>
      <c r="L127" s="78">
        <f t="shared" si="57"/>
        <v>0</v>
      </c>
      <c r="M127" s="78">
        <f t="shared" si="57"/>
        <v>0</v>
      </c>
      <c r="N127" s="78">
        <f t="shared" si="57"/>
        <v>0</v>
      </c>
      <c r="O127" s="78">
        <f t="shared" si="57"/>
        <v>0</v>
      </c>
      <c r="P127" s="78">
        <f t="shared" ref="P127" si="66">P67</f>
        <v>0</v>
      </c>
      <c r="Q127" s="78">
        <f t="shared" si="58"/>
        <v>0</v>
      </c>
      <c r="R127" s="78">
        <f t="shared" si="58"/>
        <v>0</v>
      </c>
      <c r="S127" s="78">
        <f t="shared" si="58"/>
        <v>0</v>
      </c>
      <c r="T127" s="78">
        <f t="shared" si="58"/>
        <v>0</v>
      </c>
      <c r="U127" s="78">
        <f t="shared" si="58"/>
        <v>0</v>
      </c>
      <c r="V127" s="78">
        <f t="shared" si="65"/>
        <v>0</v>
      </c>
      <c r="W127" s="78">
        <f t="shared" si="59"/>
        <v>0</v>
      </c>
      <c r="X127" s="78">
        <f t="shared" si="59"/>
        <v>0</v>
      </c>
      <c r="Y127" s="78">
        <f t="shared" si="59"/>
        <v>0</v>
      </c>
      <c r="Z127" s="78">
        <f t="shared" si="59"/>
        <v>0</v>
      </c>
      <c r="AA127" s="78">
        <f t="shared" si="59"/>
        <v>0</v>
      </c>
      <c r="AB127" s="78">
        <f t="shared" si="59"/>
        <v>0</v>
      </c>
      <c r="AC127" s="78">
        <f t="shared" si="59"/>
        <v>0</v>
      </c>
      <c r="AD127" s="78">
        <f t="shared" si="59"/>
        <v>0</v>
      </c>
      <c r="AE127" s="78">
        <f t="shared" si="59"/>
        <v>0</v>
      </c>
      <c r="AF127" s="78">
        <f t="shared" si="59"/>
        <v>0</v>
      </c>
    </row>
    <row r="128" spans="1:32" ht="16.5" hidden="1" x14ac:dyDescent="0.15">
      <c r="A128" s="84"/>
      <c r="B128" s="84"/>
      <c r="C128" s="84"/>
      <c r="D128" s="89"/>
      <c r="E128" s="89"/>
      <c r="F128" s="89"/>
      <c r="G128" s="58">
        <f t="shared" ref="G128" si="67">H128*I128</f>
        <v>0</v>
      </c>
      <c r="H128" s="58">
        <f t="shared" ref="H128:I128" si="68">H68</f>
        <v>0</v>
      </c>
      <c r="I128" s="58">
        <f t="shared" si="68"/>
        <v>0</v>
      </c>
      <c r="J128" s="58" t="e">
        <f>#REF!</f>
        <v>#REF!</v>
      </c>
      <c r="K128" s="128" t="e">
        <f t="shared" ref="K128:O128" si="69">K68</f>
        <v>#REF!</v>
      </c>
      <c r="L128" s="78">
        <f t="shared" ref="L128:L133" si="70">L68</f>
        <v>0</v>
      </c>
      <c r="M128" s="78">
        <f t="shared" si="69"/>
        <v>0</v>
      </c>
      <c r="N128" s="78">
        <f t="shared" si="69"/>
        <v>0</v>
      </c>
      <c r="O128" s="78">
        <f t="shared" si="69"/>
        <v>0</v>
      </c>
      <c r="P128" s="78">
        <f t="shared" ref="P128" si="71">P68</f>
        <v>0</v>
      </c>
      <c r="Q128" s="78">
        <f t="shared" si="58"/>
        <v>0</v>
      </c>
      <c r="R128" s="78">
        <f t="shared" si="58"/>
        <v>0</v>
      </c>
      <c r="S128" s="78">
        <f t="shared" si="58"/>
        <v>0</v>
      </c>
      <c r="T128" s="78">
        <f t="shared" si="58"/>
        <v>0</v>
      </c>
      <c r="U128" s="78">
        <f t="shared" si="58"/>
        <v>0</v>
      </c>
      <c r="V128" s="78">
        <f t="shared" si="65"/>
        <v>0</v>
      </c>
      <c r="W128" s="78">
        <f t="shared" si="59"/>
        <v>0</v>
      </c>
      <c r="X128" s="78">
        <f t="shared" si="59"/>
        <v>0</v>
      </c>
      <c r="Y128" s="78">
        <f t="shared" si="59"/>
        <v>0</v>
      </c>
      <c r="Z128" s="78">
        <f t="shared" si="59"/>
        <v>0</v>
      </c>
      <c r="AA128" s="78">
        <f t="shared" si="59"/>
        <v>0</v>
      </c>
      <c r="AB128" s="78">
        <f t="shared" si="59"/>
        <v>0</v>
      </c>
      <c r="AC128" s="78">
        <f t="shared" si="59"/>
        <v>0</v>
      </c>
      <c r="AD128" s="78">
        <f t="shared" si="59"/>
        <v>0</v>
      </c>
      <c r="AE128" s="78">
        <f t="shared" si="59"/>
        <v>0</v>
      </c>
      <c r="AF128" s="78">
        <f t="shared" si="59"/>
        <v>0</v>
      </c>
    </row>
    <row r="129" spans="1:32" ht="16.5" hidden="1" x14ac:dyDescent="0.15">
      <c r="A129" s="84"/>
      <c r="B129" s="84"/>
      <c r="C129" s="84"/>
      <c r="D129" s="89"/>
      <c r="E129" s="89"/>
      <c r="F129" s="89"/>
      <c r="G129" s="58">
        <f t="shared" si="60"/>
        <v>0</v>
      </c>
      <c r="H129" s="58">
        <f t="shared" ref="H129:I133" si="72">H69</f>
        <v>0</v>
      </c>
      <c r="I129" s="58">
        <f t="shared" si="72"/>
        <v>0</v>
      </c>
      <c r="J129" s="58" t="e">
        <f>#REF!</f>
        <v>#REF!</v>
      </c>
      <c r="K129" s="128" t="e">
        <f>K69</f>
        <v>#REF!</v>
      </c>
      <c r="L129" s="78">
        <f t="shared" si="70"/>
        <v>0</v>
      </c>
      <c r="M129" s="78">
        <f t="shared" ref="M129:O129" si="73">M69</f>
        <v>0</v>
      </c>
      <c r="N129" s="78">
        <f t="shared" si="73"/>
        <v>0</v>
      </c>
      <c r="O129" s="78">
        <f t="shared" si="73"/>
        <v>0</v>
      </c>
      <c r="P129" s="78">
        <f t="shared" ref="P129" si="74">P69</f>
        <v>0</v>
      </c>
      <c r="Q129" s="78">
        <f t="shared" si="58"/>
        <v>0</v>
      </c>
      <c r="R129" s="78">
        <f t="shared" si="58"/>
        <v>0</v>
      </c>
      <c r="S129" s="78">
        <f t="shared" si="58"/>
        <v>0</v>
      </c>
      <c r="T129" s="78">
        <f t="shared" si="58"/>
        <v>0</v>
      </c>
      <c r="U129" s="78">
        <f t="shared" si="58"/>
        <v>0</v>
      </c>
      <c r="V129" s="78">
        <f t="shared" si="65"/>
        <v>0</v>
      </c>
      <c r="W129" s="78">
        <f t="shared" si="59"/>
        <v>0</v>
      </c>
      <c r="X129" s="78">
        <f t="shared" si="59"/>
        <v>0</v>
      </c>
      <c r="Y129" s="78">
        <f t="shared" si="59"/>
        <v>0</v>
      </c>
      <c r="Z129" s="78">
        <f t="shared" si="59"/>
        <v>0</v>
      </c>
      <c r="AA129" s="78">
        <f t="shared" si="59"/>
        <v>0</v>
      </c>
      <c r="AB129" s="78">
        <f t="shared" si="59"/>
        <v>0</v>
      </c>
      <c r="AC129" s="78">
        <f t="shared" si="59"/>
        <v>0</v>
      </c>
      <c r="AD129" s="78">
        <f t="shared" si="59"/>
        <v>0</v>
      </c>
      <c r="AE129" s="78">
        <f t="shared" si="59"/>
        <v>0</v>
      </c>
      <c r="AF129" s="78">
        <f t="shared" si="59"/>
        <v>0</v>
      </c>
    </row>
    <row r="130" spans="1:32" ht="16.5" hidden="1" x14ac:dyDescent="0.15">
      <c r="G130" s="58">
        <f t="shared" si="60"/>
        <v>0</v>
      </c>
      <c r="H130" s="58">
        <f t="shared" si="72"/>
        <v>0</v>
      </c>
      <c r="I130" s="58">
        <f t="shared" si="72"/>
        <v>0</v>
      </c>
      <c r="J130" s="58" t="e">
        <f>#REF!</f>
        <v>#REF!</v>
      </c>
      <c r="K130" s="128" t="e">
        <f>K70</f>
        <v>#REF!</v>
      </c>
      <c r="L130" s="78">
        <f t="shared" si="70"/>
        <v>0</v>
      </c>
      <c r="M130" s="78">
        <f t="shared" ref="M130:O130" si="75">M70</f>
        <v>0</v>
      </c>
      <c r="N130" s="78">
        <f t="shared" si="75"/>
        <v>0</v>
      </c>
      <c r="O130" s="78">
        <f t="shared" si="75"/>
        <v>0</v>
      </c>
      <c r="P130" s="78">
        <f t="shared" ref="P130" si="76">P70</f>
        <v>0</v>
      </c>
      <c r="Q130" s="78">
        <f t="shared" si="58"/>
        <v>0</v>
      </c>
      <c r="R130" s="78">
        <f t="shared" si="58"/>
        <v>0</v>
      </c>
      <c r="S130" s="78">
        <f t="shared" si="58"/>
        <v>0</v>
      </c>
      <c r="T130" s="78">
        <f t="shared" si="58"/>
        <v>0</v>
      </c>
      <c r="U130" s="78">
        <f t="shared" si="58"/>
        <v>0</v>
      </c>
      <c r="V130" s="78">
        <f t="shared" si="65"/>
        <v>0</v>
      </c>
      <c r="W130" s="78">
        <f t="shared" si="59"/>
        <v>0</v>
      </c>
      <c r="X130" s="78">
        <f t="shared" si="59"/>
        <v>0</v>
      </c>
      <c r="Y130" s="78">
        <f t="shared" si="59"/>
        <v>0</v>
      </c>
      <c r="Z130" s="78">
        <f t="shared" si="59"/>
        <v>0</v>
      </c>
      <c r="AA130" s="78">
        <f t="shared" si="59"/>
        <v>0</v>
      </c>
      <c r="AB130" s="78">
        <f t="shared" si="59"/>
        <v>0</v>
      </c>
      <c r="AC130" s="78">
        <f t="shared" si="59"/>
        <v>0</v>
      </c>
      <c r="AD130" s="78">
        <f t="shared" si="59"/>
        <v>0</v>
      </c>
      <c r="AE130" s="78">
        <f t="shared" si="59"/>
        <v>0</v>
      </c>
      <c r="AF130" s="78">
        <f t="shared" si="59"/>
        <v>0</v>
      </c>
    </row>
    <row r="131" spans="1:32" ht="16.5" hidden="1" x14ac:dyDescent="0.15">
      <c r="A131" s="89"/>
      <c r="B131" s="113"/>
      <c r="C131" s="113"/>
      <c r="D131" s="113"/>
      <c r="E131" s="113"/>
      <c r="F131" s="113"/>
      <c r="G131" s="58">
        <f t="shared" si="60"/>
        <v>0</v>
      </c>
      <c r="H131" s="58">
        <f t="shared" si="72"/>
        <v>0</v>
      </c>
      <c r="I131" s="58">
        <f t="shared" si="72"/>
        <v>0</v>
      </c>
      <c r="J131" s="58" t="e">
        <f>#REF!</f>
        <v>#REF!</v>
      </c>
      <c r="K131" s="128" t="e">
        <f>K71</f>
        <v>#REF!</v>
      </c>
      <c r="L131" s="78">
        <f t="shared" si="70"/>
        <v>0</v>
      </c>
      <c r="M131" s="78">
        <f t="shared" ref="M131:O131" si="77">M71</f>
        <v>0</v>
      </c>
      <c r="N131" s="78">
        <f t="shared" si="77"/>
        <v>0</v>
      </c>
      <c r="O131" s="78">
        <f t="shared" si="77"/>
        <v>0</v>
      </c>
      <c r="P131" s="78">
        <f t="shared" ref="P131" si="78">P71</f>
        <v>0</v>
      </c>
      <c r="Q131" s="78">
        <f t="shared" si="58"/>
        <v>0</v>
      </c>
      <c r="R131" s="78">
        <f t="shared" si="58"/>
        <v>0</v>
      </c>
      <c r="S131" s="78">
        <f t="shared" si="58"/>
        <v>0</v>
      </c>
      <c r="T131" s="78">
        <f t="shared" si="58"/>
        <v>0</v>
      </c>
      <c r="U131" s="78">
        <f t="shared" si="58"/>
        <v>0</v>
      </c>
      <c r="V131" s="78">
        <f t="shared" si="65"/>
        <v>0</v>
      </c>
      <c r="W131" s="78">
        <f t="shared" si="59"/>
        <v>0</v>
      </c>
      <c r="X131" s="78">
        <f t="shared" si="59"/>
        <v>0</v>
      </c>
      <c r="Y131" s="78">
        <f t="shared" si="59"/>
        <v>0</v>
      </c>
      <c r="Z131" s="78">
        <f t="shared" si="59"/>
        <v>0</v>
      </c>
      <c r="AA131" s="78">
        <f t="shared" si="59"/>
        <v>0</v>
      </c>
      <c r="AB131" s="78">
        <f t="shared" si="59"/>
        <v>0</v>
      </c>
      <c r="AC131" s="78">
        <f t="shared" si="59"/>
        <v>0</v>
      </c>
      <c r="AD131" s="78">
        <f t="shared" si="59"/>
        <v>0</v>
      </c>
      <c r="AE131" s="78">
        <f t="shared" si="59"/>
        <v>0</v>
      </c>
      <c r="AF131" s="78">
        <f t="shared" si="59"/>
        <v>0</v>
      </c>
    </row>
    <row r="132" spans="1:32" ht="16.5" hidden="1" x14ac:dyDescent="0.15">
      <c r="A132" s="89"/>
      <c r="B132" s="113"/>
      <c r="C132" s="113"/>
      <c r="D132" s="113"/>
      <c r="E132" s="113"/>
      <c r="F132" s="113"/>
      <c r="G132" s="58">
        <f t="shared" si="60"/>
        <v>0</v>
      </c>
      <c r="H132" s="58">
        <f t="shared" si="72"/>
        <v>0</v>
      </c>
      <c r="I132" s="58">
        <f t="shared" si="72"/>
        <v>0</v>
      </c>
      <c r="J132" s="58" t="e">
        <f>#REF!</f>
        <v>#REF!</v>
      </c>
      <c r="K132" s="129" t="e">
        <f>K72</f>
        <v>#REF!</v>
      </c>
      <c r="L132" s="78">
        <f t="shared" si="70"/>
        <v>0</v>
      </c>
      <c r="M132" s="78">
        <f t="shared" ref="M132:O132" si="79">M72</f>
        <v>0</v>
      </c>
      <c r="N132" s="78">
        <f t="shared" si="79"/>
        <v>0</v>
      </c>
      <c r="O132" s="78">
        <f t="shared" si="79"/>
        <v>0</v>
      </c>
      <c r="P132" s="78">
        <f t="shared" ref="P132" si="80">P72</f>
        <v>0</v>
      </c>
      <c r="Q132" s="78">
        <f t="shared" si="58"/>
        <v>0</v>
      </c>
      <c r="R132" s="78">
        <f t="shared" si="58"/>
        <v>0</v>
      </c>
      <c r="S132" s="78">
        <f t="shared" si="58"/>
        <v>0</v>
      </c>
      <c r="T132" s="78">
        <f t="shared" si="58"/>
        <v>0</v>
      </c>
      <c r="U132" s="78">
        <f t="shared" si="58"/>
        <v>0</v>
      </c>
      <c r="V132" s="78">
        <f t="shared" si="65"/>
        <v>0</v>
      </c>
      <c r="W132" s="78">
        <f t="shared" si="59"/>
        <v>0</v>
      </c>
      <c r="X132" s="78">
        <f t="shared" si="59"/>
        <v>0</v>
      </c>
      <c r="Y132" s="78">
        <f t="shared" si="59"/>
        <v>0</v>
      </c>
      <c r="Z132" s="78">
        <f t="shared" si="59"/>
        <v>0</v>
      </c>
      <c r="AA132" s="78">
        <f t="shared" si="59"/>
        <v>0</v>
      </c>
      <c r="AB132" s="78">
        <f t="shared" si="59"/>
        <v>0</v>
      </c>
      <c r="AC132" s="78">
        <f t="shared" si="59"/>
        <v>0</v>
      </c>
      <c r="AD132" s="78">
        <f t="shared" si="59"/>
        <v>0</v>
      </c>
      <c r="AE132" s="78">
        <f t="shared" si="59"/>
        <v>0</v>
      </c>
      <c r="AF132" s="78">
        <f t="shared" si="59"/>
        <v>0</v>
      </c>
    </row>
    <row r="133" spans="1:32" ht="16.5" hidden="1" x14ac:dyDescent="0.15">
      <c r="A133" s="89"/>
      <c r="B133" s="113"/>
      <c r="C133" s="113"/>
      <c r="D133" s="113"/>
      <c r="E133" s="113"/>
      <c r="F133" s="113"/>
      <c r="G133" s="58">
        <f t="shared" ref="G133" si="81">H133*I133</f>
        <v>0</v>
      </c>
      <c r="H133" s="58">
        <f t="shared" si="72"/>
        <v>0</v>
      </c>
      <c r="I133" s="58">
        <f t="shared" si="72"/>
        <v>0</v>
      </c>
      <c r="J133" s="58" t="e">
        <f>#REF!</f>
        <v>#REF!</v>
      </c>
      <c r="K133" s="128" t="e">
        <f>K73</f>
        <v>#REF!</v>
      </c>
      <c r="L133" s="78">
        <f t="shared" si="70"/>
        <v>0</v>
      </c>
      <c r="M133" s="78">
        <f t="shared" ref="M133:O133" si="82">M73</f>
        <v>0</v>
      </c>
      <c r="N133" s="78">
        <f t="shared" si="82"/>
        <v>0</v>
      </c>
      <c r="O133" s="78">
        <f t="shared" si="82"/>
        <v>0</v>
      </c>
      <c r="P133" s="78">
        <f t="shared" ref="P133" si="83">P73</f>
        <v>0</v>
      </c>
      <c r="Q133" s="78">
        <f t="shared" si="58"/>
        <v>0</v>
      </c>
      <c r="R133" s="78">
        <f t="shared" si="58"/>
        <v>0</v>
      </c>
      <c r="S133" s="78">
        <f t="shared" si="58"/>
        <v>0</v>
      </c>
      <c r="T133" s="78">
        <f t="shared" si="58"/>
        <v>0</v>
      </c>
      <c r="U133" s="78">
        <f t="shared" si="58"/>
        <v>0</v>
      </c>
      <c r="V133" s="78">
        <f t="shared" si="65"/>
        <v>0</v>
      </c>
      <c r="W133" s="78">
        <f t="shared" si="59"/>
        <v>0</v>
      </c>
      <c r="X133" s="78">
        <f t="shared" si="59"/>
        <v>0</v>
      </c>
      <c r="Y133" s="78">
        <f t="shared" si="59"/>
        <v>0</v>
      </c>
      <c r="Z133" s="78">
        <f t="shared" si="59"/>
        <v>0</v>
      </c>
      <c r="AA133" s="78">
        <f t="shared" si="59"/>
        <v>0</v>
      </c>
      <c r="AB133" s="78">
        <f t="shared" si="59"/>
        <v>0</v>
      </c>
      <c r="AC133" s="78">
        <f t="shared" si="59"/>
        <v>0</v>
      </c>
      <c r="AD133" s="78">
        <f t="shared" si="59"/>
        <v>0</v>
      </c>
      <c r="AE133" s="78">
        <f t="shared" si="59"/>
        <v>0</v>
      </c>
      <c r="AF133" s="78">
        <f t="shared" si="59"/>
        <v>0</v>
      </c>
    </row>
    <row r="134" spans="1:32" ht="16.5" hidden="1" x14ac:dyDescent="0.15">
      <c r="A134" s="89"/>
      <c r="B134" s="113"/>
      <c r="C134" s="113"/>
      <c r="D134" s="113"/>
      <c r="E134" s="113"/>
      <c r="F134" s="113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</row>
    <row r="135" spans="1:32" ht="16.5" hidden="1" x14ac:dyDescent="0.15">
      <c r="A135" s="89"/>
      <c r="B135" s="113"/>
      <c r="C135" s="113"/>
      <c r="D135" s="113"/>
      <c r="E135" s="113"/>
      <c r="F135" s="113"/>
      <c r="G135" s="58"/>
      <c r="H135" s="58"/>
      <c r="I135" s="58"/>
      <c r="J135" s="58"/>
      <c r="K135" s="58"/>
      <c r="L135" s="58"/>
      <c r="M135" s="58"/>
      <c r="N135" s="58"/>
      <c r="O135" s="58"/>
      <c r="P135" s="95">
        <v>0.92</v>
      </c>
      <c r="Q135" s="95">
        <v>1.08</v>
      </c>
      <c r="R135" s="58"/>
      <c r="S135" s="58"/>
      <c r="T135" s="58"/>
      <c r="U135" s="58"/>
      <c r="V135" s="58"/>
      <c r="W135" s="58"/>
    </row>
    <row r="136" spans="1:32" ht="16.5" hidden="1" x14ac:dyDescent="0.15">
      <c r="A136" s="89"/>
      <c r="B136" s="113"/>
      <c r="C136" s="113"/>
      <c r="D136" s="58"/>
      <c r="E136" s="58"/>
      <c r="G136" s="58"/>
      <c r="H136" s="58" t="s">
        <v>48</v>
      </c>
      <c r="I136" s="58"/>
      <c r="J136" s="58"/>
      <c r="K136" s="89" t="str">
        <f>HLOOKUP(Simulator!$C$6,Calculation_440!L$118:X$133,2,FALSE)</f>
        <v>5000K,70Min</v>
      </c>
      <c r="L136" s="89" t="s">
        <v>50</v>
      </c>
      <c r="M136" s="89" t="s">
        <v>28</v>
      </c>
      <c r="N136" s="106" t="s">
        <v>144</v>
      </c>
      <c r="O136" s="89" t="s">
        <v>66</v>
      </c>
      <c r="P136" s="105" t="s">
        <v>62</v>
      </c>
      <c r="Q136" s="105" t="s">
        <v>64</v>
      </c>
      <c r="R136" s="106" t="s">
        <v>140</v>
      </c>
      <c r="S136" s="104" t="s">
        <v>33</v>
      </c>
      <c r="T136" s="104"/>
      <c r="U136" s="104" t="s">
        <v>27</v>
      </c>
      <c r="V136" s="89" t="s">
        <v>141</v>
      </c>
      <c r="W136" s="89" t="s">
        <v>142</v>
      </c>
      <c r="X136" s="104" t="s">
        <v>8</v>
      </c>
      <c r="Y136" s="58"/>
    </row>
    <row r="137" spans="1:32" ht="16.5" hidden="1" x14ac:dyDescent="0.15">
      <c r="A137" s="89"/>
      <c r="B137" s="113"/>
      <c r="C137" s="113"/>
      <c r="D137" s="58"/>
      <c r="E137" s="58"/>
      <c r="G137" s="58"/>
      <c r="H137" s="100">
        <f t="shared" ref="H137:H150" si="84">K137/G120</f>
        <v>67.513054420648984</v>
      </c>
      <c r="I137" s="58"/>
      <c r="J137" s="58" t="str">
        <f>B2</f>
        <v>PSL440-0404C4</v>
      </c>
      <c r="K137" s="107">
        <f>HLOOKUP(Simulator!$C$6,Calculation_440!L$118:AF$133,3,FALSE)</f>
        <v>1080.2088707303838</v>
      </c>
      <c r="L137" s="109">
        <f t="shared" ref="L137:L150" si="85">E$123/I120</f>
        <v>87.5</v>
      </c>
      <c r="M137" s="109">
        <f>(B$119*$L137^3+B$120*$L137^2+B$121*$L137+B$122)*K137</f>
        <v>587.37326815977417</v>
      </c>
      <c r="N137" s="111">
        <f t="shared" ref="N137:N150" si="86">($E$119*$E$125^2+$E$120*$E$125+$E$121)*M137</f>
        <v>587.37326815977417</v>
      </c>
      <c r="O137" s="109">
        <f t="shared" ref="O137:O150" si="87">(D$119*$L137^2+D$120*$L137+D$121)*K120</f>
        <v>11.298649612089529</v>
      </c>
      <c r="P137" s="110">
        <f>R137*$P$135</f>
        <v>10.394757643122366</v>
      </c>
      <c r="Q137" s="110">
        <f>R137*$Q$135</f>
        <v>12.202541581056691</v>
      </c>
      <c r="R137" s="111">
        <f>(F$119*$E$125^2+F$120*$E$125+F$121)*O137</f>
        <v>11.298649612089529</v>
      </c>
      <c r="S137" s="112">
        <f>(L137*I60)*R137/1000</f>
        <v>3.954527364231335</v>
      </c>
      <c r="T137" s="112"/>
      <c r="U137" s="112">
        <f t="shared" ref="U137" si="88">N137/S137</f>
        <v>148.53185072698199</v>
      </c>
      <c r="V137" s="58">
        <f t="shared" ref="V137:V144" si="89">V77</f>
        <v>3.5</v>
      </c>
      <c r="W137" s="100">
        <f t="shared" ref="W137" si="90">S137*V137</f>
        <v>13.840845774809672</v>
      </c>
      <c r="X137" s="112">
        <f t="shared" ref="X137:X150" si="91">E$125+W137</f>
        <v>38.840845774809672</v>
      </c>
      <c r="Y137" s="58"/>
    </row>
    <row r="138" spans="1:32" ht="16.5" hidden="1" x14ac:dyDescent="0.15">
      <c r="A138" s="58"/>
      <c r="B138" s="58"/>
      <c r="C138" s="58"/>
      <c r="D138" s="58"/>
      <c r="E138" s="99"/>
      <c r="G138" s="58"/>
      <c r="H138" s="100" t="e">
        <f t="shared" si="84"/>
        <v>#DIV/0!</v>
      </c>
      <c r="I138" s="58"/>
      <c r="J138" s="58" t="str">
        <f>B3</f>
        <v>PSL445-0405C4</v>
      </c>
      <c r="K138" s="107" t="e">
        <f>HLOOKUP(Simulator!$C$6,Calculation_440!L$118:AF$133,4,FALSE)</f>
        <v>#DIV/0!</v>
      </c>
      <c r="L138" s="109">
        <f t="shared" si="85"/>
        <v>70</v>
      </c>
      <c r="M138" s="109" t="e">
        <f t="shared" ref="M138:M150" si="92">(B$119*$L138^3+B$120*$L138^2+B$121*$L138+B$122)*K138</f>
        <v>#DIV/0!</v>
      </c>
      <c r="N138" s="111" t="e">
        <f t="shared" si="86"/>
        <v>#DIV/0!</v>
      </c>
      <c r="O138" s="109">
        <f t="shared" si="87"/>
        <v>10.431728370475474</v>
      </c>
      <c r="P138" s="110">
        <f t="shared" ref="P138:P150" si="93">R138*$P$135</f>
        <v>9.5971901008374356</v>
      </c>
      <c r="Q138" s="110">
        <f t="shared" ref="Q138:Q150" si="94">R138*$Q$135</f>
        <v>11.266266640113512</v>
      </c>
      <c r="R138" s="111">
        <f t="shared" ref="R138:R150" si="95">(F$119*$E$125^2+F$120*$E$125+F$121)*O138</f>
        <v>10.431728370475474</v>
      </c>
      <c r="S138" s="112">
        <f t="shared" ref="S138:S150" si="96">(L138*I61)*R138/1000</f>
        <v>3.651104929666416</v>
      </c>
      <c r="T138" s="112"/>
      <c r="U138" s="112" t="e">
        <f t="shared" ref="U138:U149" si="97">N138/S138</f>
        <v>#DIV/0!</v>
      </c>
      <c r="V138" s="58">
        <f t="shared" si="89"/>
        <v>2.8</v>
      </c>
      <c r="W138" s="100">
        <f t="shared" ref="W138:W149" si="98">S138*V138</f>
        <v>10.223093803065964</v>
      </c>
      <c r="X138" s="112">
        <f t="shared" si="91"/>
        <v>35.223093803065964</v>
      </c>
      <c r="Y138" s="58"/>
    </row>
    <row r="139" spans="1:32" ht="16.5" hidden="1" x14ac:dyDescent="0.15">
      <c r="A139" s="58"/>
      <c r="B139" s="94"/>
      <c r="C139" s="94"/>
      <c r="D139" s="58"/>
      <c r="E139" s="58"/>
      <c r="G139" s="58"/>
      <c r="H139" s="100" t="e">
        <f t="shared" si="84"/>
        <v>#DIV/0!</v>
      </c>
      <c r="I139" s="58"/>
      <c r="J139" s="58" t="e">
        <f>#REF!</f>
        <v>#REF!</v>
      </c>
      <c r="K139" s="107">
        <f>HLOOKUP(Simulator!$C$6,Calculation_440!L$118:AF$133,5,FALSE)</f>
        <v>0</v>
      </c>
      <c r="L139" s="109" t="e">
        <f t="shared" si="85"/>
        <v>#DIV/0!</v>
      </c>
      <c r="M139" s="109" t="e">
        <f t="shared" si="92"/>
        <v>#DIV/0!</v>
      </c>
      <c r="N139" s="111" t="e">
        <f t="shared" si="86"/>
        <v>#DIV/0!</v>
      </c>
      <c r="O139" s="109" t="e">
        <f t="shared" si="87"/>
        <v>#DIV/0!</v>
      </c>
      <c r="P139" s="110" t="e">
        <f t="shared" si="93"/>
        <v>#DIV/0!</v>
      </c>
      <c r="Q139" s="110" t="e">
        <f t="shared" si="94"/>
        <v>#DIV/0!</v>
      </c>
      <c r="R139" s="111" t="e">
        <f t="shared" si="95"/>
        <v>#DIV/0!</v>
      </c>
      <c r="S139" s="112" t="e">
        <f t="shared" si="96"/>
        <v>#DIV/0!</v>
      </c>
      <c r="T139" s="112"/>
      <c r="U139" s="112" t="e">
        <f t="shared" si="97"/>
        <v>#DIV/0!</v>
      </c>
      <c r="V139" s="58">
        <f t="shared" si="89"/>
        <v>0</v>
      </c>
      <c r="W139" s="100" t="e">
        <f t="shared" si="98"/>
        <v>#DIV/0!</v>
      </c>
      <c r="X139" s="112" t="e">
        <f t="shared" si="91"/>
        <v>#DIV/0!</v>
      </c>
      <c r="Y139" s="58"/>
    </row>
    <row r="140" spans="1:32" ht="16.5" hidden="1" x14ac:dyDescent="0.15">
      <c r="A140" s="58"/>
      <c r="B140" s="100"/>
      <c r="C140" s="120"/>
      <c r="D140" s="58"/>
      <c r="E140" s="121"/>
      <c r="G140" s="58"/>
      <c r="H140" s="100" t="e">
        <f t="shared" si="84"/>
        <v>#DIV/0!</v>
      </c>
      <c r="I140" s="58"/>
      <c r="J140" s="58" t="e">
        <f>#REF!</f>
        <v>#REF!</v>
      </c>
      <c r="K140" s="107">
        <f>HLOOKUP(Simulator!$C$6,Calculation_440!L$118:AF$133,6,FALSE)</f>
        <v>0</v>
      </c>
      <c r="L140" s="109" t="e">
        <f t="shared" si="85"/>
        <v>#DIV/0!</v>
      </c>
      <c r="M140" s="109" t="e">
        <f t="shared" si="92"/>
        <v>#DIV/0!</v>
      </c>
      <c r="N140" s="111" t="e">
        <f t="shared" si="86"/>
        <v>#DIV/0!</v>
      </c>
      <c r="O140" s="109" t="e">
        <f t="shared" si="87"/>
        <v>#DIV/0!</v>
      </c>
      <c r="P140" s="110" t="e">
        <f t="shared" si="93"/>
        <v>#DIV/0!</v>
      </c>
      <c r="Q140" s="110" t="e">
        <f t="shared" si="94"/>
        <v>#DIV/0!</v>
      </c>
      <c r="R140" s="111" t="e">
        <f t="shared" si="95"/>
        <v>#DIV/0!</v>
      </c>
      <c r="S140" s="112" t="e">
        <f t="shared" si="96"/>
        <v>#DIV/0!</v>
      </c>
      <c r="T140" s="112"/>
      <c r="U140" s="112" t="e">
        <f t="shared" si="97"/>
        <v>#DIV/0!</v>
      </c>
      <c r="V140" s="58">
        <f t="shared" si="89"/>
        <v>0</v>
      </c>
      <c r="W140" s="100" t="e">
        <f t="shared" si="98"/>
        <v>#DIV/0!</v>
      </c>
      <c r="X140" s="112" t="e">
        <f t="shared" si="91"/>
        <v>#DIV/0!</v>
      </c>
      <c r="Y140" s="58"/>
    </row>
    <row r="141" spans="1:32" ht="16.5" hidden="1" x14ac:dyDescent="0.15">
      <c r="A141" s="58"/>
      <c r="B141" s="95"/>
      <c r="C141" s="103"/>
      <c r="D141" s="58"/>
      <c r="E141" s="58"/>
      <c r="F141" s="58"/>
      <c r="G141" s="58"/>
      <c r="H141" s="100" t="e">
        <f t="shared" si="84"/>
        <v>#DIV/0!</v>
      </c>
      <c r="I141" s="58"/>
      <c r="J141" s="58" t="e">
        <f>#REF!</f>
        <v>#REF!</v>
      </c>
      <c r="K141" s="107">
        <f>HLOOKUP(Simulator!$C$6,Calculation_440!L$118:AF$133,7,FALSE)</f>
        <v>0</v>
      </c>
      <c r="L141" s="109" t="e">
        <f t="shared" si="85"/>
        <v>#DIV/0!</v>
      </c>
      <c r="M141" s="109" t="e">
        <f t="shared" si="92"/>
        <v>#DIV/0!</v>
      </c>
      <c r="N141" s="111" t="e">
        <f t="shared" si="86"/>
        <v>#DIV/0!</v>
      </c>
      <c r="O141" s="109" t="e">
        <f t="shared" si="87"/>
        <v>#DIV/0!</v>
      </c>
      <c r="P141" s="110" t="e">
        <f t="shared" si="93"/>
        <v>#DIV/0!</v>
      </c>
      <c r="Q141" s="110" t="e">
        <f t="shared" si="94"/>
        <v>#DIV/0!</v>
      </c>
      <c r="R141" s="111" t="e">
        <f t="shared" si="95"/>
        <v>#DIV/0!</v>
      </c>
      <c r="S141" s="112" t="e">
        <f t="shared" si="96"/>
        <v>#DIV/0!</v>
      </c>
      <c r="T141" s="112"/>
      <c r="U141" s="112" t="e">
        <f t="shared" si="97"/>
        <v>#DIV/0!</v>
      </c>
      <c r="V141" s="58">
        <f t="shared" si="89"/>
        <v>0</v>
      </c>
      <c r="W141" s="100" t="e">
        <f t="shared" si="98"/>
        <v>#DIV/0!</v>
      </c>
      <c r="X141" s="112" t="e">
        <f t="shared" si="91"/>
        <v>#DIV/0!</v>
      </c>
      <c r="Y141" s="58"/>
    </row>
    <row r="142" spans="1:32" ht="16.5" hidden="1" x14ac:dyDescent="0.15">
      <c r="A142" s="58"/>
      <c r="B142" s="58"/>
      <c r="C142" s="58"/>
      <c r="D142" s="58"/>
      <c r="E142" s="58"/>
      <c r="F142" s="58"/>
      <c r="G142" s="58"/>
      <c r="H142" s="100" t="e">
        <f t="shared" si="84"/>
        <v>#DIV/0!</v>
      </c>
      <c r="I142" s="58"/>
      <c r="J142" s="58" t="e">
        <f>#REF!</f>
        <v>#REF!</v>
      </c>
      <c r="K142" s="107">
        <f>HLOOKUP(Simulator!$C$6,Calculation_440!L$118:AF$133,8,FALSE)</f>
        <v>0</v>
      </c>
      <c r="L142" s="109" t="e">
        <f t="shared" si="85"/>
        <v>#DIV/0!</v>
      </c>
      <c r="M142" s="109" t="e">
        <f t="shared" si="92"/>
        <v>#DIV/0!</v>
      </c>
      <c r="N142" s="111" t="e">
        <f t="shared" si="86"/>
        <v>#DIV/0!</v>
      </c>
      <c r="O142" s="109" t="e">
        <f t="shared" si="87"/>
        <v>#DIV/0!</v>
      </c>
      <c r="P142" s="110" t="e">
        <f t="shared" si="93"/>
        <v>#DIV/0!</v>
      </c>
      <c r="Q142" s="110" t="e">
        <f t="shared" si="94"/>
        <v>#DIV/0!</v>
      </c>
      <c r="R142" s="111" t="e">
        <f t="shared" si="95"/>
        <v>#DIV/0!</v>
      </c>
      <c r="S142" s="112" t="e">
        <f t="shared" si="96"/>
        <v>#DIV/0!</v>
      </c>
      <c r="T142" s="112"/>
      <c r="U142" s="112" t="e">
        <f t="shared" si="97"/>
        <v>#DIV/0!</v>
      </c>
      <c r="V142" s="58">
        <f t="shared" si="89"/>
        <v>0</v>
      </c>
      <c r="W142" s="100" t="e">
        <f t="shared" si="98"/>
        <v>#DIV/0!</v>
      </c>
      <c r="X142" s="112" t="e">
        <f t="shared" si="91"/>
        <v>#DIV/0!</v>
      </c>
      <c r="Y142" s="58"/>
    </row>
    <row r="143" spans="1:32" ht="16.5" hidden="1" x14ac:dyDescent="0.15">
      <c r="A143" s="58"/>
      <c r="B143" s="58"/>
      <c r="C143" s="58"/>
      <c r="D143" s="58"/>
      <c r="E143" s="58"/>
      <c r="F143" s="58"/>
      <c r="G143" s="58"/>
      <c r="H143" s="100" t="e">
        <f t="shared" si="84"/>
        <v>#DIV/0!</v>
      </c>
      <c r="I143" s="58"/>
      <c r="J143" s="58" t="e">
        <f>#REF!</f>
        <v>#REF!</v>
      </c>
      <c r="K143" s="107">
        <f>HLOOKUP(Simulator!$C$6,Calculation_440!L$118:AF$133,9,FALSE)</f>
        <v>0</v>
      </c>
      <c r="L143" s="109" t="e">
        <f t="shared" si="85"/>
        <v>#DIV/0!</v>
      </c>
      <c r="M143" s="109" t="e">
        <f t="shared" si="92"/>
        <v>#DIV/0!</v>
      </c>
      <c r="N143" s="111" t="e">
        <f t="shared" si="86"/>
        <v>#DIV/0!</v>
      </c>
      <c r="O143" s="109" t="e">
        <f t="shared" si="87"/>
        <v>#DIV/0!</v>
      </c>
      <c r="P143" s="110" t="e">
        <f t="shared" si="93"/>
        <v>#DIV/0!</v>
      </c>
      <c r="Q143" s="110" t="e">
        <f t="shared" si="94"/>
        <v>#DIV/0!</v>
      </c>
      <c r="R143" s="111" t="e">
        <f t="shared" si="95"/>
        <v>#DIV/0!</v>
      </c>
      <c r="S143" s="112" t="e">
        <f t="shared" si="96"/>
        <v>#DIV/0!</v>
      </c>
      <c r="T143" s="112"/>
      <c r="U143" s="112" t="e">
        <f t="shared" si="97"/>
        <v>#DIV/0!</v>
      </c>
      <c r="V143" s="58">
        <f t="shared" si="89"/>
        <v>0</v>
      </c>
      <c r="W143" s="100" t="e">
        <f t="shared" si="98"/>
        <v>#DIV/0!</v>
      </c>
      <c r="X143" s="112" t="e">
        <f t="shared" si="91"/>
        <v>#DIV/0!</v>
      </c>
      <c r="Y143" s="58"/>
    </row>
    <row r="144" spans="1:32" ht="16.5" hidden="1" x14ac:dyDescent="0.15">
      <c r="A144" s="58"/>
      <c r="B144" s="58"/>
      <c r="C144" s="58"/>
      <c r="D144" s="58"/>
      <c r="E144" s="58"/>
      <c r="F144" s="58"/>
      <c r="G144" s="58"/>
      <c r="H144" s="100" t="e">
        <f t="shared" si="84"/>
        <v>#DIV/0!</v>
      </c>
      <c r="I144" s="58"/>
      <c r="J144" s="58" t="e">
        <f>#REF!</f>
        <v>#REF!</v>
      </c>
      <c r="K144" s="107">
        <f>HLOOKUP(Simulator!$C$6,Calculation_440!L$118:AF$133,10,FALSE)</f>
        <v>0</v>
      </c>
      <c r="L144" s="109" t="e">
        <f t="shared" si="85"/>
        <v>#DIV/0!</v>
      </c>
      <c r="M144" s="109" t="e">
        <f t="shared" si="92"/>
        <v>#DIV/0!</v>
      </c>
      <c r="N144" s="111" t="e">
        <f t="shared" si="86"/>
        <v>#DIV/0!</v>
      </c>
      <c r="O144" s="109" t="e">
        <f t="shared" si="87"/>
        <v>#DIV/0!</v>
      </c>
      <c r="P144" s="110" t="e">
        <f t="shared" si="93"/>
        <v>#DIV/0!</v>
      </c>
      <c r="Q144" s="110" t="e">
        <f t="shared" si="94"/>
        <v>#DIV/0!</v>
      </c>
      <c r="R144" s="111" t="e">
        <f t="shared" si="95"/>
        <v>#DIV/0!</v>
      </c>
      <c r="S144" s="112" t="e">
        <f t="shared" si="96"/>
        <v>#DIV/0!</v>
      </c>
      <c r="T144" s="112"/>
      <c r="U144" s="112" t="e">
        <f t="shared" si="97"/>
        <v>#DIV/0!</v>
      </c>
      <c r="V144" s="58">
        <f t="shared" si="89"/>
        <v>0</v>
      </c>
      <c r="W144" s="100" t="e">
        <f t="shared" si="98"/>
        <v>#DIV/0!</v>
      </c>
      <c r="X144" s="112" t="e">
        <f t="shared" si="91"/>
        <v>#DIV/0!</v>
      </c>
      <c r="Y144" s="58"/>
    </row>
    <row r="145" spans="1:25" ht="16.5" hidden="1" x14ac:dyDescent="0.15">
      <c r="A145" s="58"/>
      <c r="B145" s="58"/>
      <c r="C145" s="58"/>
      <c r="D145" s="58"/>
      <c r="E145" s="58"/>
      <c r="F145" s="58"/>
      <c r="G145" s="58"/>
      <c r="H145" s="100" t="e">
        <f t="shared" si="84"/>
        <v>#DIV/0!</v>
      </c>
      <c r="I145" s="58"/>
      <c r="J145" s="58" t="e">
        <f>#REF!</f>
        <v>#REF!</v>
      </c>
      <c r="K145" s="107">
        <f>HLOOKUP(Simulator!$C$6,Calculation_440!L$118:AF$133,11,FALSE)</f>
        <v>0</v>
      </c>
      <c r="L145" s="109" t="e">
        <f t="shared" si="85"/>
        <v>#DIV/0!</v>
      </c>
      <c r="M145" s="109" t="e">
        <f t="shared" ref="M145" si="99">(B$119*$L145^3+B$120*$L145^2+B$121*$L145+B$122)*K145</f>
        <v>#DIV/0!</v>
      </c>
      <c r="N145" s="111" t="e">
        <f t="shared" si="86"/>
        <v>#DIV/0!</v>
      </c>
      <c r="O145" s="109" t="e">
        <f t="shared" si="87"/>
        <v>#DIV/0!</v>
      </c>
      <c r="P145" s="110" t="e">
        <f t="shared" ref="P145" si="100">R145*$P$135</f>
        <v>#DIV/0!</v>
      </c>
      <c r="Q145" s="110" t="e">
        <f t="shared" ref="Q145" si="101">R145*$Q$135</f>
        <v>#DIV/0!</v>
      </c>
      <c r="R145" s="111" t="e">
        <f t="shared" ref="R145" si="102">(F$119*$E$125^2+F$120*$E$125+F$121)*O145</f>
        <v>#DIV/0!</v>
      </c>
      <c r="S145" s="112" t="e">
        <f t="shared" si="96"/>
        <v>#DIV/0!</v>
      </c>
      <c r="T145" s="112"/>
      <c r="U145" s="112" t="e">
        <f t="shared" ref="U145" si="103">N145/S145</f>
        <v>#DIV/0!</v>
      </c>
      <c r="V145" s="58">
        <f t="shared" ref="V145:V150" si="104">V85</f>
        <v>0</v>
      </c>
      <c r="W145" s="100" t="e">
        <f t="shared" ref="W145" si="105">S145*V145</f>
        <v>#DIV/0!</v>
      </c>
      <c r="X145" s="112" t="e">
        <f t="shared" ref="X145" si="106">E$125+W145</f>
        <v>#DIV/0!</v>
      </c>
      <c r="Y145" s="58"/>
    </row>
    <row r="146" spans="1:25" ht="16.5" hidden="1" x14ac:dyDescent="0.15">
      <c r="A146" s="58"/>
      <c r="B146" s="58"/>
      <c r="C146" s="58"/>
      <c r="D146" s="58"/>
      <c r="E146" s="58"/>
      <c r="F146" s="58"/>
      <c r="G146" s="58"/>
      <c r="H146" s="100" t="e">
        <f t="shared" si="84"/>
        <v>#DIV/0!</v>
      </c>
      <c r="I146" s="58"/>
      <c r="J146" s="58" t="e">
        <f>#REF!</f>
        <v>#REF!</v>
      </c>
      <c r="K146" s="107">
        <f>HLOOKUP(Simulator!$C$6,Calculation_440!L$118:AF$133,12,FALSE)</f>
        <v>0</v>
      </c>
      <c r="L146" s="109" t="e">
        <f t="shared" si="85"/>
        <v>#DIV/0!</v>
      </c>
      <c r="M146" s="109" t="e">
        <f t="shared" si="92"/>
        <v>#DIV/0!</v>
      </c>
      <c r="N146" s="111" t="e">
        <f t="shared" si="86"/>
        <v>#DIV/0!</v>
      </c>
      <c r="O146" s="109" t="e">
        <f t="shared" si="87"/>
        <v>#DIV/0!</v>
      </c>
      <c r="P146" s="110" t="e">
        <f t="shared" si="93"/>
        <v>#DIV/0!</v>
      </c>
      <c r="Q146" s="110" t="e">
        <f t="shared" si="94"/>
        <v>#DIV/0!</v>
      </c>
      <c r="R146" s="111" t="e">
        <f t="shared" si="95"/>
        <v>#DIV/0!</v>
      </c>
      <c r="S146" s="112" t="e">
        <f t="shared" si="96"/>
        <v>#DIV/0!</v>
      </c>
      <c r="T146" s="112"/>
      <c r="U146" s="112" t="e">
        <f t="shared" si="97"/>
        <v>#DIV/0!</v>
      </c>
      <c r="V146" s="58">
        <f t="shared" si="104"/>
        <v>0</v>
      </c>
      <c r="W146" s="100" t="e">
        <f t="shared" si="98"/>
        <v>#DIV/0!</v>
      </c>
      <c r="X146" s="112" t="e">
        <f t="shared" si="91"/>
        <v>#DIV/0!</v>
      </c>
      <c r="Y146" s="58"/>
    </row>
    <row r="147" spans="1:25" ht="16.5" hidden="1" x14ac:dyDescent="0.15">
      <c r="A147" s="58"/>
      <c r="B147" s="58"/>
      <c r="C147" s="58"/>
      <c r="D147" s="58"/>
      <c r="E147" s="58"/>
      <c r="F147" s="58"/>
      <c r="G147" s="58"/>
      <c r="H147" s="100" t="e">
        <f t="shared" si="84"/>
        <v>#DIV/0!</v>
      </c>
      <c r="I147" s="58"/>
      <c r="J147" s="58" t="e">
        <f>#REF!</f>
        <v>#REF!</v>
      </c>
      <c r="K147" s="107">
        <f>HLOOKUP(Simulator!$C$6,Calculation_440!L$118:AF$133,13,FALSE)</f>
        <v>0</v>
      </c>
      <c r="L147" s="109" t="e">
        <f t="shared" si="85"/>
        <v>#DIV/0!</v>
      </c>
      <c r="M147" s="109" t="e">
        <f t="shared" si="92"/>
        <v>#DIV/0!</v>
      </c>
      <c r="N147" s="111" t="e">
        <f t="shared" si="86"/>
        <v>#DIV/0!</v>
      </c>
      <c r="O147" s="109" t="e">
        <f t="shared" si="87"/>
        <v>#DIV/0!</v>
      </c>
      <c r="P147" s="110" t="e">
        <f t="shared" si="93"/>
        <v>#DIV/0!</v>
      </c>
      <c r="Q147" s="110" t="e">
        <f t="shared" si="94"/>
        <v>#DIV/0!</v>
      </c>
      <c r="R147" s="111" t="e">
        <f t="shared" si="95"/>
        <v>#DIV/0!</v>
      </c>
      <c r="S147" s="112" t="e">
        <f t="shared" si="96"/>
        <v>#DIV/0!</v>
      </c>
      <c r="T147" s="112"/>
      <c r="U147" s="112" t="e">
        <f t="shared" si="97"/>
        <v>#DIV/0!</v>
      </c>
      <c r="V147" s="58">
        <f t="shared" si="104"/>
        <v>0</v>
      </c>
      <c r="W147" s="100" t="e">
        <f t="shared" si="98"/>
        <v>#DIV/0!</v>
      </c>
      <c r="X147" s="112" t="e">
        <f t="shared" si="91"/>
        <v>#DIV/0!</v>
      </c>
      <c r="Y147" s="130"/>
    </row>
    <row r="148" spans="1:25" ht="16.5" hidden="1" x14ac:dyDescent="0.15">
      <c r="A148" s="58"/>
      <c r="B148" s="58"/>
      <c r="C148" s="58"/>
      <c r="D148" s="58"/>
      <c r="E148" s="58"/>
      <c r="F148" s="58"/>
      <c r="G148" s="58"/>
      <c r="H148" s="100" t="e">
        <f t="shared" si="84"/>
        <v>#DIV/0!</v>
      </c>
      <c r="I148" s="58"/>
      <c r="J148" s="58" t="e">
        <f>#REF!</f>
        <v>#REF!</v>
      </c>
      <c r="K148" s="107">
        <f>HLOOKUP(Simulator!$C$6,Calculation_440!L$118:AF$133,14,FALSE)</f>
        <v>0</v>
      </c>
      <c r="L148" s="109" t="e">
        <f t="shared" si="85"/>
        <v>#DIV/0!</v>
      </c>
      <c r="M148" s="109" t="e">
        <f t="shared" si="92"/>
        <v>#DIV/0!</v>
      </c>
      <c r="N148" s="111" t="e">
        <f t="shared" si="86"/>
        <v>#DIV/0!</v>
      </c>
      <c r="O148" s="109" t="e">
        <f t="shared" si="87"/>
        <v>#DIV/0!</v>
      </c>
      <c r="P148" s="110" t="e">
        <f t="shared" si="93"/>
        <v>#DIV/0!</v>
      </c>
      <c r="Q148" s="110" t="e">
        <f t="shared" si="94"/>
        <v>#DIV/0!</v>
      </c>
      <c r="R148" s="111" t="e">
        <f t="shared" si="95"/>
        <v>#DIV/0!</v>
      </c>
      <c r="S148" s="112" t="e">
        <f t="shared" si="96"/>
        <v>#DIV/0!</v>
      </c>
      <c r="T148" s="112"/>
      <c r="U148" s="112" t="e">
        <f t="shared" si="97"/>
        <v>#DIV/0!</v>
      </c>
      <c r="V148" s="58">
        <f t="shared" si="104"/>
        <v>0</v>
      </c>
      <c r="W148" s="100" t="e">
        <f t="shared" si="98"/>
        <v>#DIV/0!</v>
      </c>
      <c r="X148" s="112" t="e">
        <f t="shared" si="91"/>
        <v>#DIV/0!</v>
      </c>
      <c r="Y148" s="58"/>
    </row>
    <row r="149" spans="1:25" ht="16.5" hidden="1" x14ac:dyDescent="0.15">
      <c r="A149" s="58"/>
      <c r="B149" s="58"/>
      <c r="C149" s="58"/>
      <c r="D149" s="58"/>
      <c r="E149" s="58"/>
      <c r="F149" s="58"/>
      <c r="G149" s="58"/>
      <c r="H149" s="100" t="e">
        <f t="shared" si="84"/>
        <v>#DIV/0!</v>
      </c>
      <c r="I149" s="58"/>
      <c r="J149" s="58" t="e">
        <f>#REF!</f>
        <v>#REF!</v>
      </c>
      <c r="K149" s="107">
        <f>HLOOKUP(Simulator!$C$6,Calculation_440!L$118:AF$133,15,FALSE)</f>
        <v>0</v>
      </c>
      <c r="L149" s="109" t="e">
        <f t="shared" si="85"/>
        <v>#DIV/0!</v>
      </c>
      <c r="M149" s="109" t="e">
        <f t="shared" si="92"/>
        <v>#DIV/0!</v>
      </c>
      <c r="N149" s="111" t="e">
        <f t="shared" si="86"/>
        <v>#DIV/0!</v>
      </c>
      <c r="O149" s="109" t="e">
        <f t="shared" si="87"/>
        <v>#DIV/0!</v>
      </c>
      <c r="P149" s="110" t="e">
        <f t="shared" si="93"/>
        <v>#DIV/0!</v>
      </c>
      <c r="Q149" s="110" t="e">
        <f t="shared" si="94"/>
        <v>#DIV/0!</v>
      </c>
      <c r="R149" s="111" t="e">
        <f t="shared" si="95"/>
        <v>#DIV/0!</v>
      </c>
      <c r="S149" s="112" t="e">
        <f t="shared" si="96"/>
        <v>#DIV/0!</v>
      </c>
      <c r="T149" s="112"/>
      <c r="U149" s="112" t="e">
        <f t="shared" si="97"/>
        <v>#DIV/0!</v>
      </c>
      <c r="V149" s="131">
        <f t="shared" si="104"/>
        <v>0</v>
      </c>
      <c r="W149" s="100" t="e">
        <f t="shared" si="98"/>
        <v>#DIV/0!</v>
      </c>
      <c r="X149" s="112" t="e">
        <f t="shared" si="91"/>
        <v>#DIV/0!</v>
      </c>
      <c r="Y149" s="130"/>
    </row>
    <row r="150" spans="1:25" ht="16.5" hidden="1" x14ac:dyDescent="0.15">
      <c r="A150" s="58"/>
      <c r="B150" s="58"/>
      <c r="C150" s="58"/>
      <c r="D150" s="58"/>
      <c r="E150" s="58"/>
      <c r="F150" s="58"/>
      <c r="G150" s="58"/>
      <c r="H150" s="100" t="e">
        <f t="shared" si="84"/>
        <v>#DIV/0!</v>
      </c>
      <c r="I150" s="58"/>
      <c r="J150" s="58" t="e">
        <f>#REF!</f>
        <v>#REF!</v>
      </c>
      <c r="K150" s="107">
        <f>HLOOKUP(Simulator!$C$6,Calculation_440!L$118:AF$133,16,FALSE)</f>
        <v>0</v>
      </c>
      <c r="L150" s="109" t="e">
        <f t="shared" si="85"/>
        <v>#DIV/0!</v>
      </c>
      <c r="M150" s="109" t="e">
        <f t="shared" si="92"/>
        <v>#DIV/0!</v>
      </c>
      <c r="N150" s="111" t="e">
        <f t="shared" si="86"/>
        <v>#DIV/0!</v>
      </c>
      <c r="O150" s="109" t="e">
        <f t="shared" si="87"/>
        <v>#DIV/0!</v>
      </c>
      <c r="P150" s="110" t="e">
        <f t="shared" si="93"/>
        <v>#DIV/0!</v>
      </c>
      <c r="Q150" s="110" t="e">
        <f t="shared" si="94"/>
        <v>#DIV/0!</v>
      </c>
      <c r="R150" s="111" t="e">
        <f t="shared" si="95"/>
        <v>#DIV/0!</v>
      </c>
      <c r="S150" s="112" t="e">
        <f t="shared" si="96"/>
        <v>#DIV/0!</v>
      </c>
      <c r="T150" s="112"/>
      <c r="U150" s="112" t="e">
        <f t="shared" ref="U150" si="107">N150/S150</f>
        <v>#DIV/0!</v>
      </c>
      <c r="V150" s="58">
        <f t="shared" si="104"/>
        <v>0</v>
      </c>
      <c r="W150" s="100" t="e">
        <f t="shared" ref="W150" si="108">S150*V150</f>
        <v>#DIV/0!</v>
      </c>
      <c r="X150" s="112" t="e">
        <f t="shared" si="91"/>
        <v>#DIV/0!</v>
      </c>
      <c r="Y150" s="130"/>
    </row>
    <row r="151" spans="1:25" ht="16.5" hidden="1" x14ac:dyDescent="0.15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</row>
    <row r="152" spans="1:25" ht="16.5" hidden="1" x14ac:dyDescent="0.15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100"/>
      <c r="L152" s="100"/>
      <c r="M152" s="100"/>
      <c r="N152" s="58"/>
      <c r="O152" s="109"/>
      <c r="P152" s="104" t="s">
        <v>6</v>
      </c>
      <c r="Q152" s="104" t="s">
        <v>5</v>
      </c>
      <c r="R152" s="104"/>
      <c r="S152" s="104"/>
      <c r="T152" s="104"/>
      <c r="U152" s="58"/>
      <c r="V152" s="58"/>
      <c r="W152" s="58"/>
    </row>
    <row r="153" spans="1:25" ht="16.5" hidden="1" x14ac:dyDescent="0.15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100"/>
      <c r="L153" s="100"/>
      <c r="M153" s="100"/>
      <c r="N153" s="58"/>
      <c r="O153" s="109"/>
      <c r="P153" s="66"/>
      <c r="Q153" s="66">
        <f>$C$42</f>
        <v>5</v>
      </c>
      <c r="R153" s="66"/>
      <c r="S153" s="66"/>
      <c r="T153" s="66"/>
      <c r="U153" s="58"/>
      <c r="V153" s="58"/>
      <c r="W153" s="58"/>
    </row>
    <row r="154" spans="1:25" ht="16.5" hidden="1" x14ac:dyDescent="0.15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100"/>
      <c r="L154" s="100"/>
      <c r="M154" s="100"/>
      <c r="N154" s="58"/>
      <c r="O154" s="109"/>
      <c r="P154" s="66"/>
      <c r="Q154" s="66"/>
      <c r="R154" s="66"/>
      <c r="S154" s="66"/>
      <c r="T154" s="66"/>
      <c r="U154" s="58"/>
      <c r="V154" s="58"/>
      <c r="W154" s="58"/>
    </row>
    <row r="155" spans="1:25" ht="16.5" hidden="1" x14ac:dyDescent="0.15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100"/>
      <c r="L155" s="100"/>
      <c r="M155" s="100"/>
      <c r="N155" s="58"/>
      <c r="O155" s="109"/>
      <c r="P155" s="104" t="s">
        <v>134</v>
      </c>
      <c r="Q155" s="104" t="s">
        <v>4</v>
      </c>
      <c r="R155" s="104"/>
      <c r="S155" s="104" t="s">
        <v>5</v>
      </c>
      <c r="T155" s="66"/>
      <c r="U155" s="58"/>
      <c r="V155" s="58"/>
      <c r="W155" s="58"/>
    </row>
    <row r="156" spans="1:25" ht="16.5" hidden="1" x14ac:dyDescent="0.15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100"/>
      <c r="L156" s="100"/>
      <c r="M156" s="100"/>
      <c r="N156" s="58"/>
      <c r="O156" s="109"/>
      <c r="P156" s="66"/>
      <c r="Q156" s="66">
        <f>$C$44</f>
        <v>105</v>
      </c>
      <c r="R156" s="66"/>
      <c r="S156" s="66">
        <f>$D$44</f>
        <v>-30</v>
      </c>
      <c r="T156" s="66"/>
      <c r="U156" s="58"/>
      <c r="V156" s="58"/>
      <c r="W156" s="58"/>
    </row>
    <row r="157" spans="1:25" ht="16.5" hidden="1" x14ac:dyDescent="0.15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100"/>
      <c r="L157" s="100"/>
      <c r="M157" s="100"/>
      <c r="N157" s="58"/>
      <c r="O157" s="109"/>
      <c r="P157" s="66"/>
      <c r="Q157" s="66"/>
      <c r="R157" s="66"/>
      <c r="S157" s="66"/>
      <c r="T157" s="66"/>
      <c r="U157" s="58"/>
      <c r="V157" s="58"/>
      <c r="W157" s="58"/>
    </row>
    <row r="158" spans="1:25" ht="16.5" hidden="1" x14ac:dyDescent="0.15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100"/>
      <c r="L158" s="100"/>
      <c r="M158" s="100"/>
      <c r="N158" s="58"/>
      <c r="O158" s="109"/>
      <c r="P158" s="104" t="s">
        <v>7</v>
      </c>
      <c r="Q158" s="104" t="s">
        <v>4</v>
      </c>
      <c r="R158" s="104"/>
      <c r="S158" s="104" t="s">
        <v>5</v>
      </c>
      <c r="T158" s="66"/>
      <c r="U158" s="58"/>
      <c r="V158" s="58"/>
      <c r="W158" s="58"/>
    </row>
    <row r="159" spans="1:25" ht="16.5" hidden="1" x14ac:dyDescent="0.15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100"/>
      <c r="L159" s="100"/>
      <c r="M159" s="100"/>
      <c r="N159" s="58"/>
      <c r="O159" s="109"/>
      <c r="P159" s="66"/>
      <c r="Q159" s="66">
        <f>$C$46</f>
        <v>140</v>
      </c>
      <c r="R159" s="66"/>
      <c r="S159" s="66">
        <f>$D$46</f>
        <v>-25</v>
      </c>
      <c r="T159" s="66"/>
      <c r="U159" s="58"/>
      <c r="V159" s="58"/>
      <c r="W159" s="58"/>
    </row>
    <row r="160" spans="1:25" ht="16.5" hidden="1" x14ac:dyDescent="0.15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109"/>
      <c r="P160" s="66"/>
      <c r="Q160" s="66"/>
      <c r="R160" s="66"/>
      <c r="S160" s="66"/>
      <c r="T160" s="66"/>
      <c r="U160" s="58"/>
      <c r="V160" s="58"/>
      <c r="W160" s="58"/>
    </row>
    <row r="161" spans="1:24" ht="16.5" hidden="1" x14ac:dyDescent="0.15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100"/>
      <c r="M161" s="76"/>
      <c r="N161" s="58"/>
      <c r="O161" s="109"/>
      <c r="P161" s="66"/>
      <c r="Q161" s="66" t="s">
        <v>134</v>
      </c>
      <c r="R161" s="66" t="s">
        <v>6</v>
      </c>
      <c r="S161" s="66"/>
      <c r="T161" s="66"/>
      <c r="U161" s="66"/>
      <c r="V161" s="66" t="s">
        <v>7</v>
      </c>
      <c r="W161" s="66" t="s">
        <v>52</v>
      </c>
      <c r="X161" s="61" t="s">
        <v>95</v>
      </c>
    </row>
    <row r="162" spans="1:24" ht="16.5" hidden="1" x14ac:dyDescent="0.15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 t="s">
        <v>37</v>
      </c>
      <c r="M162" s="76"/>
      <c r="N162" s="100" t="s">
        <v>39</v>
      </c>
      <c r="O162" s="109"/>
      <c r="P162" s="66"/>
      <c r="Q162" s="66" t="s">
        <v>3</v>
      </c>
      <c r="R162" s="66" t="s">
        <v>38</v>
      </c>
      <c r="S162" s="66"/>
      <c r="T162" s="66" t="s">
        <v>39</v>
      </c>
      <c r="U162" s="66" t="s">
        <v>53</v>
      </c>
      <c r="V162" s="66" t="s">
        <v>3</v>
      </c>
      <c r="W162" s="66" t="s">
        <v>54</v>
      </c>
      <c r="X162" s="61" t="s">
        <v>96</v>
      </c>
    </row>
    <row r="163" spans="1:24" ht="16.5" hidden="1" x14ac:dyDescent="0.4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100">
        <v>900</v>
      </c>
      <c r="M163" s="125">
        <f t="shared" ref="M163:M170" si="109">M103</f>
        <v>2400</v>
      </c>
      <c r="N163" s="126">
        <f>IF(L163&gt;=M163,M163,L163)</f>
        <v>900</v>
      </c>
      <c r="O163" s="109"/>
      <c r="P163" s="58" t="str">
        <f t="shared" ref="P163:P170" si="110">P103</f>
        <v>PSL440-0404C4</v>
      </c>
      <c r="Q163" s="66" t="b">
        <f t="shared" ref="Q163:Q176" si="111">AND(S$156&lt;=$E$125,Q$156&gt;=$E$125)</f>
        <v>1</v>
      </c>
      <c r="R163" s="58">
        <f t="shared" ref="R163:R176" si="112">Q$153</f>
        <v>5</v>
      </c>
      <c r="S163" s="58"/>
      <c r="T163" s="126">
        <f>N163/I120</f>
        <v>225</v>
      </c>
      <c r="U163" s="66" t="b">
        <f t="shared" ref="U163:U176" si="113">AND(AND(Q163,R163&lt;=L137,T163&gt;=L137),X163)</f>
        <v>1</v>
      </c>
      <c r="V163" s="66" t="b">
        <f>AND(Q163,S$159&lt;X137,Q$159&gt;X137)</f>
        <v>1</v>
      </c>
      <c r="W163" s="66" t="b">
        <f>AND(U163,Q163,V163)</f>
        <v>1</v>
      </c>
      <c r="X163" s="61" t="b">
        <f t="shared" ref="X163:X176" si="114">IF(IFERROR(M137,FALSE),TRUE)</f>
        <v>1</v>
      </c>
    </row>
    <row r="164" spans="1:24" ht="16.5" hidden="1" x14ac:dyDescent="0.4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100">
        <v>900</v>
      </c>
      <c r="M164" s="125">
        <f t="shared" si="109"/>
        <v>2957.1428571428569</v>
      </c>
      <c r="N164" s="126">
        <f t="shared" ref="N164:N175" si="115">IF(L164&gt;=M164,M164,L164)</f>
        <v>900</v>
      </c>
      <c r="O164" s="109"/>
      <c r="P164" s="58" t="str">
        <f t="shared" si="110"/>
        <v>PSL445-0405C4</v>
      </c>
      <c r="Q164" s="66" t="b">
        <f t="shared" si="111"/>
        <v>1</v>
      </c>
      <c r="R164" s="58">
        <f t="shared" si="112"/>
        <v>5</v>
      </c>
      <c r="S164" s="58"/>
      <c r="T164" s="126">
        <f>N164/I121</f>
        <v>180</v>
      </c>
      <c r="U164" s="66" t="b">
        <f t="shared" si="113"/>
        <v>0</v>
      </c>
      <c r="V164" s="66" t="b">
        <f t="shared" ref="V164:V176" si="116">AND(Q164,S$159&lt;X138,Q$159&gt;X138)</f>
        <v>1</v>
      </c>
      <c r="W164" s="66" t="b">
        <f>AND(U164,Q164,V164)</f>
        <v>0</v>
      </c>
      <c r="X164" s="61" t="b">
        <f t="shared" si="114"/>
        <v>0</v>
      </c>
    </row>
    <row r="165" spans="1:24" ht="16.5" hidden="1" x14ac:dyDescent="0.4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100"/>
      <c r="M165" s="125">
        <f t="shared" si="109"/>
        <v>0</v>
      </c>
      <c r="N165" s="126">
        <f t="shared" si="115"/>
        <v>0</v>
      </c>
      <c r="O165" s="58"/>
      <c r="P165" s="58" t="e">
        <f t="shared" si="110"/>
        <v>#REF!</v>
      </c>
      <c r="Q165" s="66" t="b">
        <f t="shared" si="111"/>
        <v>1</v>
      </c>
      <c r="R165" s="58">
        <f t="shared" si="112"/>
        <v>5</v>
      </c>
      <c r="S165" s="58"/>
      <c r="T165" s="126" t="e">
        <f t="shared" ref="T165:T176" si="117">N165/I122</f>
        <v>#DIV/0!</v>
      </c>
      <c r="U165" s="66" t="e">
        <f t="shared" si="113"/>
        <v>#DIV/0!</v>
      </c>
      <c r="V165" s="66" t="e">
        <f t="shared" si="116"/>
        <v>#DIV/0!</v>
      </c>
      <c r="W165" s="66" t="e">
        <f t="shared" ref="W165:W174" si="118">AND(U165,Q165,V165)</f>
        <v>#DIV/0!</v>
      </c>
      <c r="X165" s="61" t="b">
        <f t="shared" si="114"/>
        <v>0</v>
      </c>
    </row>
    <row r="166" spans="1:24" ht="16.5" hidden="1" x14ac:dyDescent="0.4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100"/>
      <c r="M166" s="125">
        <f t="shared" si="109"/>
        <v>0</v>
      </c>
      <c r="N166" s="126">
        <f t="shared" si="115"/>
        <v>0</v>
      </c>
      <c r="O166" s="58"/>
      <c r="P166" s="58" t="e">
        <f t="shared" si="110"/>
        <v>#REF!</v>
      </c>
      <c r="Q166" s="66" t="b">
        <f t="shared" si="111"/>
        <v>1</v>
      </c>
      <c r="R166" s="58">
        <f t="shared" si="112"/>
        <v>5</v>
      </c>
      <c r="S166" s="58"/>
      <c r="T166" s="126" t="e">
        <f t="shared" si="117"/>
        <v>#DIV/0!</v>
      </c>
      <c r="U166" s="66" t="e">
        <f t="shared" si="113"/>
        <v>#DIV/0!</v>
      </c>
      <c r="V166" s="66" t="e">
        <f t="shared" si="116"/>
        <v>#DIV/0!</v>
      </c>
      <c r="W166" s="66" t="e">
        <f t="shared" si="118"/>
        <v>#DIV/0!</v>
      </c>
      <c r="X166" s="61" t="b">
        <f t="shared" si="114"/>
        <v>0</v>
      </c>
    </row>
    <row r="167" spans="1:24" ht="16.5" hidden="1" x14ac:dyDescent="0.4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100"/>
      <c r="M167" s="125">
        <f t="shared" si="109"/>
        <v>0</v>
      </c>
      <c r="N167" s="126">
        <f t="shared" si="115"/>
        <v>0</v>
      </c>
      <c r="O167" s="58"/>
      <c r="P167" s="58" t="e">
        <f t="shared" si="110"/>
        <v>#REF!</v>
      </c>
      <c r="Q167" s="66" t="b">
        <f t="shared" si="111"/>
        <v>1</v>
      </c>
      <c r="R167" s="58">
        <f t="shared" si="112"/>
        <v>5</v>
      </c>
      <c r="S167" s="58"/>
      <c r="T167" s="126" t="e">
        <f t="shared" si="117"/>
        <v>#DIV/0!</v>
      </c>
      <c r="U167" s="66" t="e">
        <f t="shared" si="113"/>
        <v>#DIV/0!</v>
      </c>
      <c r="V167" s="66" t="e">
        <f t="shared" si="116"/>
        <v>#DIV/0!</v>
      </c>
      <c r="W167" s="66" t="e">
        <f t="shared" si="118"/>
        <v>#DIV/0!</v>
      </c>
      <c r="X167" s="61" t="b">
        <f t="shared" si="114"/>
        <v>0</v>
      </c>
    </row>
    <row r="168" spans="1:24" ht="16.5" hidden="1" x14ac:dyDescent="0.4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100"/>
      <c r="M168" s="125">
        <f t="shared" si="109"/>
        <v>0</v>
      </c>
      <c r="N168" s="126">
        <f t="shared" si="115"/>
        <v>0</v>
      </c>
      <c r="O168" s="58"/>
      <c r="P168" s="58" t="e">
        <f t="shared" si="110"/>
        <v>#REF!</v>
      </c>
      <c r="Q168" s="66" t="b">
        <f t="shared" si="111"/>
        <v>1</v>
      </c>
      <c r="R168" s="58">
        <f t="shared" si="112"/>
        <v>5</v>
      </c>
      <c r="S168" s="58"/>
      <c r="T168" s="126" t="e">
        <f t="shared" si="117"/>
        <v>#DIV/0!</v>
      </c>
      <c r="U168" s="66" t="e">
        <f t="shared" si="113"/>
        <v>#DIV/0!</v>
      </c>
      <c r="V168" s="66" t="e">
        <f t="shared" si="116"/>
        <v>#DIV/0!</v>
      </c>
      <c r="W168" s="66" t="e">
        <f t="shared" si="118"/>
        <v>#DIV/0!</v>
      </c>
      <c r="X168" s="61" t="b">
        <f t="shared" si="114"/>
        <v>0</v>
      </c>
    </row>
    <row r="169" spans="1:24" ht="16.5" hidden="1" x14ac:dyDescent="0.4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100"/>
      <c r="M169" s="125">
        <f t="shared" si="109"/>
        <v>0</v>
      </c>
      <c r="N169" s="126">
        <f t="shared" si="115"/>
        <v>0</v>
      </c>
      <c r="O169" s="58"/>
      <c r="P169" s="58" t="e">
        <f t="shared" si="110"/>
        <v>#REF!</v>
      </c>
      <c r="Q169" s="66" t="b">
        <f t="shared" si="111"/>
        <v>1</v>
      </c>
      <c r="R169" s="58">
        <f t="shared" si="112"/>
        <v>5</v>
      </c>
      <c r="S169" s="58"/>
      <c r="T169" s="126" t="e">
        <f t="shared" si="117"/>
        <v>#DIV/0!</v>
      </c>
      <c r="U169" s="66" t="e">
        <f t="shared" si="113"/>
        <v>#DIV/0!</v>
      </c>
      <c r="V169" s="66" t="e">
        <f t="shared" si="116"/>
        <v>#DIV/0!</v>
      </c>
      <c r="W169" s="66" t="e">
        <f t="shared" si="118"/>
        <v>#DIV/0!</v>
      </c>
      <c r="X169" s="61" t="b">
        <f t="shared" si="114"/>
        <v>0</v>
      </c>
    </row>
    <row r="170" spans="1:24" ht="16.5" hidden="1" x14ac:dyDescent="0.4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100"/>
      <c r="M170" s="125">
        <f t="shared" si="109"/>
        <v>0</v>
      </c>
      <c r="N170" s="126">
        <f t="shared" si="115"/>
        <v>0</v>
      </c>
      <c r="O170" s="58"/>
      <c r="P170" s="58" t="e">
        <f t="shared" si="110"/>
        <v>#REF!</v>
      </c>
      <c r="Q170" s="66" t="b">
        <f t="shared" si="111"/>
        <v>1</v>
      </c>
      <c r="R170" s="58">
        <f t="shared" si="112"/>
        <v>5</v>
      </c>
      <c r="S170" s="58"/>
      <c r="T170" s="126" t="e">
        <f t="shared" si="117"/>
        <v>#DIV/0!</v>
      </c>
      <c r="U170" s="66" t="e">
        <f t="shared" si="113"/>
        <v>#DIV/0!</v>
      </c>
      <c r="V170" s="66" t="e">
        <f t="shared" si="116"/>
        <v>#DIV/0!</v>
      </c>
      <c r="W170" s="66" t="e">
        <f t="shared" si="118"/>
        <v>#DIV/0!</v>
      </c>
      <c r="X170" s="61" t="b">
        <f t="shared" si="114"/>
        <v>0</v>
      </c>
    </row>
    <row r="171" spans="1:24" ht="16.5" hidden="1" x14ac:dyDescent="0.4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100"/>
      <c r="M171" s="125">
        <f t="shared" ref="M171:M176" si="119">M111</f>
        <v>0</v>
      </c>
      <c r="N171" s="126">
        <f t="shared" ref="N171" si="120">IF(L171&gt;=M171,M171,L171)</f>
        <v>0</v>
      </c>
      <c r="O171" s="58"/>
      <c r="P171" s="58" t="e">
        <f t="shared" ref="P171:P176" si="121">P111</f>
        <v>#REF!</v>
      </c>
      <c r="Q171" s="66" t="b">
        <f t="shared" si="111"/>
        <v>1</v>
      </c>
      <c r="R171" s="58">
        <f t="shared" ref="R171" si="122">Q$153</f>
        <v>5</v>
      </c>
      <c r="S171" s="58"/>
      <c r="T171" s="126" t="e">
        <f t="shared" si="117"/>
        <v>#DIV/0!</v>
      </c>
      <c r="U171" s="66" t="e">
        <f t="shared" si="113"/>
        <v>#DIV/0!</v>
      </c>
      <c r="V171" s="66" t="e">
        <f t="shared" si="116"/>
        <v>#DIV/0!</v>
      </c>
      <c r="W171" s="66" t="e">
        <f t="shared" ref="W171" si="123">AND(U171,Q171,V171)</f>
        <v>#DIV/0!</v>
      </c>
      <c r="X171" s="61" t="b">
        <f t="shared" si="114"/>
        <v>0</v>
      </c>
    </row>
    <row r="172" spans="1:24" ht="16.5" hidden="1" x14ac:dyDescent="0.4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100"/>
      <c r="M172" s="125">
        <f t="shared" si="119"/>
        <v>0</v>
      </c>
      <c r="N172" s="126">
        <f t="shared" si="115"/>
        <v>0</v>
      </c>
      <c r="O172" s="58"/>
      <c r="P172" s="58" t="e">
        <f t="shared" si="121"/>
        <v>#REF!</v>
      </c>
      <c r="Q172" s="66" t="b">
        <f t="shared" si="111"/>
        <v>1</v>
      </c>
      <c r="R172" s="58">
        <f t="shared" si="112"/>
        <v>5</v>
      </c>
      <c r="S172" s="58"/>
      <c r="T172" s="126" t="e">
        <f t="shared" si="117"/>
        <v>#DIV/0!</v>
      </c>
      <c r="U172" s="66" t="e">
        <f t="shared" si="113"/>
        <v>#DIV/0!</v>
      </c>
      <c r="V172" s="66" t="e">
        <f t="shared" si="116"/>
        <v>#DIV/0!</v>
      </c>
      <c r="W172" s="66" t="e">
        <f t="shared" si="118"/>
        <v>#DIV/0!</v>
      </c>
      <c r="X172" s="61" t="b">
        <f t="shared" si="114"/>
        <v>0</v>
      </c>
    </row>
    <row r="173" spans="1:24" ht="16.5" hidden="1" x14ac:dyDescent="0.4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100"/>
      <c r="M173" s="125">
        <f t="shared" si="119"/>
        <v>0</v>
      </c>
      <c r="N173" s="126">
        <f t="shared" si="115"/>
        <v>0</v>
      </c>
      <c r="O173" s="58"/>
      <c r="P173" s="58" t="e">
        <f t="shared" si="121"/>
        <v>#REF!</v>
      </c>
      <c r="Q173" s="66" t="b">
        <f t="shared" si="111"/>
        <v>1</v>
      </c>
      <c r="R173" s="58">
        <f t="shared" si="112"/>
        <v>5</v>
      </c>
      <c r="S173" s="58"/>
      <c r="T173" s="126" t="e">
        <f t="shared" si="117"/>
        <v>#DIV/0!</v>
      </c>
      <c r="U173" s="66" t="e">
        <f t="shared" si="113"/>
        <v>#DIV/0!</v>
      </c>
      <c r="V173" s="66" t="e">
        <f t="shared" si="116"/>
        <v>#DIV/0!</v>
      </c>
      <c r="W173" s="66" t="e">
        <f t="shared" si="118"/>
        <v>#DIV/0!</v>
      </c>
      <c r="X173" s="61" t="b">
        <f t="shared" si="114"/>
        <v>0</v>
      </c>
    </row>
    <row r="174" spans="1:24" ht="16.5" hidden="1" x14ac:dyDescent="0.4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100"/>
      <c r="M174" s="125">
        <f t="shared" si="119"/>
        <v>0</v>
      </c>
      <c r="N174" s="126">
        <f t="shared" si="115"/>
        <v>0</v>
      </c>
      <c r="O174" s="58"/>
      <c r="P174" s="58" t="e">
        <f t="shared" si="121"/>
        <v>#REF!</v>
      </c>
      <c r="Q174" s="66" t="b">
        <f t="shared" si="111"/>
        <v>1</v>
      </c>
      <c r="R174" s="58">
        <f t="shared" si="112"/>
        <v>5</v>
      </c>
      <c r="S174" s="58"/>
      <c r="T174" s="126" t="e">
        <f t="shared" si="117"/>
        <v>#DIV/0!</v>
      </c>
      <c r="U174" s="66" t="e">
        <f t="shared" si="113"/>
        <v>#DIV/0!</v>
      </c>
      <c r="V174" s="66" t="e">
        <f t="shared" si="116"/>
        <v>#DIV/0!</v>
      </c>
      <c r="W174" s="66" t="e">
        <f t="shared" si="118"/>
        <v>#DIV/0!</v>
      </c>
      <c r="X174" s="61" t="b">
        <f t="shared" si="114"/>
        <v>0</v>
      </c>
    </row>
    <row r="175" spans="1:24" ht="16.5" hidden="1" x14ac:dyDescent="0.4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100"/>
      <c r="M175" s="125">
        <f t="shared" si="119"/>
        <v>0</v>
      </c>
      <c r="N175" s="126">
        <f t="shared" si="115"/>
        <v>0</v>
      </c>
      <c r="O175" s="58"/>
      <c r="P175" s="58" t="e">
        <f t="shared" si="121"/>
        <v>#REF!</v>
      </c>
      <c r="Q175" s="66" t="b">
        <f t="shared" si="111"/>
        <v>1</v>
      </c>
      <c r="R175" s="58">
        <f>Q$153</f>
        <v>5</v>
      </c>
      <c r="S175" s="58"/>
      <c r="T175" s="126" t="e">
        <f t="shared" si="117"/>
        <v>#DIV/0!</v>
      </c>
      <c r="U175" s="66" t="e">
        <f t="shared" si="113"/>
        <v>#DIV/0!</v>
      </c>
      <c r="V175" s="66" t="e">
        <f t="shared" si="116"/>
        <v>#DIV/0!</v>
      </c>
      <c r="W175" s="66" t="e">
        <f>AND(U175,Q175,V175)</f>
        <v>#DIV/0!</v>
      </c>
      <c r="X175" s="61" t="b">
        <f t="shared" si="114"/>
        <v>0</v>
      </c>
    </row>
    <row r="176" spans="1:24" ht="16.5" hidden="1" x14ac:dyDescent="0.4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100"/>
      <c r="M176" s="125">
        <f t="shared" si="119"/>
        <v>0</v>
      </c>
      <c r="N176" s="126">
        <f t="shared" ref="N176" si="124">IF(L176&gt;=M176,M176,L176)</f>
        <v>0</v>
      </c>
      <c r="O176" s="58"/>
      <c r="P176" s="58" t="e">
        <f t="shared" si="121"/>
        <v>#REF!</v>
      </c>
      <c r="Q176" s="66" t="b">
        <f t="shared" si="111"/>
        <v>1</v>
      </c>
      <c r="R176" s="58">
        <f t="shared" si="112"/>
        <v>5</v>
      </c>
      <c r="S176" s="58"/>
      <c r="T176" s="126" t="e">
        <f t="shared" si="117"/>
        <v>#DIV/0!</v>
      </c>
      <c r="U176" s="66" t="e">
        <f t="shared" si="113"/>
        <v>#DIV/0!</v>
      </c>
      <c r="V176" s="66" t="e">
        <f t="shared" si="116"/>
        <v>#DIV/0!</v>
      </c>
      <c r="W176" s="66" t="e">
        <f>AND(U176,Q176,V176)</f>
        <v>#DIV/0!</v>
      </c>
      <c r="X176" s="61" t="b">
        <f t="shared" si="114"/>
        <v>0</v>
      </c>
    </row>
  </sheetData>
  <sheetProtection password="C071" sheet="1" objects="1" scenarios="1" selectLockedCells="1" selectUnlockedCells="1"/>
  <mergeCells count="1">
    <mergeCell ref="A49:B49"/>
  </mergeCells>
  <phoneticPr fontId="4"/>
  <conditionalFormatting sqref="C26:P38">
    <cfRule type="cellIs" dxfId="3" priority="6" stopIfTrue="1" operator="equal">
      <formula>"Not Applicable"</formula>
    </cfRule>
  </conditionalFormatting>
  <conditionalFormatting sqref="C25:P25">
    <cfRule type="cellIs" dxfId="2" priority="3" stopIfTrue="1" operator="equal">
      <formula>"Not Applicable"</formula>
    </cfRule>
  </conditionalFormatting>
  <pageMargins left="0.19685039370078741" right="0.19685039370078741" top="0.19685039370078741" bottom="0.19685039370078741" header="0.51181102362204722" footer="0.51181102362204722"/>
  <pageSetup paperSize="9" scale="2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6"/>
  <sheetViews>
    <sheetView view="pageBreakPreview" topLeftCell="AG177" zoomScale="60" zoomScaleNormal="75" workbookViewId="0">
      <selection activeCell="AM193" sqref="AM193"/>
    </sheetView>
  </sheetViews>
  <sheetFormatPr defaultColWidth="2.5" defaultRowHeight="23.25" customHeight="1" x14ac:dyDescent="0.15"/>
  <cols>
    <col min="1" max="1" width="3.125" style="61" hidden="1" customWidth="1"/>
    <col min="2" max="2" width="16.75" style="61" hidden="1" customWidth="1"/>
    <col min="3" max="17" width="15.625" style="61" hidden="1" customWidth="1"/>
    <col min="18" max="18" width="21.75" style="61" hidden="1" customWidth="1"/>
    <col min="19" max="21" width="15.625" style="61" hidden="1" customWidth="1"/>
    <col min="22" max="24" width="20.375" style="61" hidden="1" customWidth="1"/>
    <col min="25" max="29" width="19.625" style="61" hidden="1" customWidth="1"/>
    <col min="30" max="32" width="12.5" style="61" hidden="1" customWidth="1"/>
    <col min="33" max="16384" width="2.5" style="61"/>
  </cols>
  <sheetData>
    <row r="1" spans="1:24" ht="16.5" hidden="1" x14ac:dyDescent="0.15">
      <c r="A1" s="58"/>
      <c r="B1" s="58" t="s">
        <v>15</v>
      </c>
      <c r="C1" s="58"/>
      <c r="D1" s="58"/>
      <c r="E1" s="58"/>
      <c r="F1" s="58"/>
      <c r="G1" s="58" t="s">
        <v>16</v>
      </c>
      <c r="H1" s="58" t="s">
        <v>17</v>
      </c>
      <c r="J1" s="58"/>
      <c r="L1" s="62" t="s">
        <v>18</v>
      </c>
      <c r="M1" s="62" t="s">
        <v>19</v>
      </c>
      <c r="N1" s="62" t="s">
        <v>20</v>
      </c>
      <c r="O1" s="58"/>
      <c r="P1" s="58"/>
      <c r="Q1" s="58"/>
      <c r="R1" s="58"/>
      <c r="S1" s="58"/>
      <c r="T1" s="58"/>
      <c r="U1" s="58"/>
      <c r="V1" s="58"/>
      <c r="W1" s="58"/>
    </row>
    <row r="2" spans="1:24" ht="16.5" hidden="1" x14ac:dyDescent="0.15">
      <c r="A2" s="58"/>
      <c r="B2" s="63" t="s">
        <v>119</v>
      </c>
      <c r="C2" s="58" t="str">
        <f>VLOOKUP(Simulator!$C$6,J2:N15,2,FALSE)</f>
        <v>C4</v>
      </c>
      <c r="D2" s="58" t="str">
        <f>VLOOKUP(Simulator!$C$6,J2:N15,5,FALSE)</f>
        <v>M4</v>
      </c>
      <c r="E2" s="58" t="str">
        <f>VLOOKUP(Simulator!$C$6,$J$2:$N$15,3,FALSE)</f>
        <v>5000K,70Min</v>
      </c>
      <c r="F2" s="58" t="str">
        <f>VLOOKUP(Simulator!$C$6,J2:N15,4,FALSE)</f>
        <v>50AL7</v>
      </c>
      <c r="G2" s="58" t="s">
        <v>101</v>
      </c>
      <c r="H2" s="58" t="s">
        <v>22</v>
      </c>
      <c r="J2" s="58">
        <v>1</v>
      </c>
      <c r="K2" s="64" t="s">
        <v>99</v>
      </c>
      <c r="L2" s="50" t="s">
        <v>100</v>
      </c>
      <c r="M2" s="63" t="s">
        <v>77</v>
      </c>
      <c r="N2" s="63" t="s">
        <v>106</v>
      </c>
      <c r="O2" s="58"/>
      <c r="P2" s="58"/>
      <c r="Q2" s="58"/>
      <c r="R2" s="58"/>
      <c r="S2" s="58"/>
      <c r="T2" s="58"/>
      <c r="U2" s="58"/>
      <c r="V2" s="58"/>
      <c r="W2" s="58"/>
    </row>
    <row r="3" spans="1:24" ht="16.5" hidden="1" x14ac:dyDescent="0.15">
      <c r="A3" s="58"/>
      <c r="B3" s="63" t="s">
        <v>120</v>
      </c>
      <c r="C3" s="58" t="str">
        <f t="shared" ref="C3" si="0">$C$2</f>
        <v>C4</v>
      </c>
      <c r="D3" s="58" t="str">
        <f t="shared" ref="D3" si="1">$D$2</f>
        <v>M4</v>
      </c>
      <c r="E3" s="58" t="str">
        <f>$E$2</f>
        <v>5000K,70Min</v>
      </c>
      <c r="F3" s="58" t="str">
        <f>$F$2</f>
        <v>50AL7</v>
      </c>
      <c r="G3" s="58" t="s">
        <v>21</v>
      </c>
      <c r="H3" s="58" t="s">
        <v>22</v>
      </c>
      <c r="J3" s="58">
        <v>2</v>
      </c>
      <c r="K3" s="64" t="s">
        <v>99</v>
      </c>
      <c r="L3" s="50" t="s">
        <v>98</v>
      </c>
      <c r="M3" s="63" t="s">
        <v>78</v>
      </c>
      <c r="N3" s="63" t="s">
        <v>106</v>
      </c>
      <c r="O3" s="58"/>
      <c r="P3" s="58"/>
      <c r="Q3" s="58"/>
      <c r="R3" s="58"/>
      <c r="S3" s="58"/>
      <c r="T3" s="58"/>
      <c r="U3" s="58"/>
      <c r="V3" s="58"/>
      <c r="W3" s="58"/>
      <c r="X3" s="65"/>
    </row>
    <row r="4" spans="1:24" ht="16.5" hidden="1" x14ac:dyDescent="0.15">
      <c r="A4" s="58"/>
      <c r="B4" s="58"/>
      <c r="C4" s="58"/>
      <c r="D4" s="58"/>
      <c r="E4" s="58"/>
      <c r="F4" s="58"/>
      <c r="G4" s="58" t="s">
        <v>91</v>
      </c>
      <c r="H4" s="58" t="s">
        <v>22</v>
      </c>
      <c r="J4" s="58">
        <v>3</v>
      </c>
      <c r="K4" s="64" t="s">
        <v>99</v>
      </c>
      <c r="L4" s="50" t="s">
        <v>102</v>
      </c>
      <c r="M4" s="63" t="s">
        <v>127</v>
      </c>
      <c r="N4" s="63" t="s">
        <v>104</v>
      </c>
      <c r="O4" s="58"/>
      <c r="P4" s="58"/>
      <c r="Q4" s="58"/>
      <c r="R4" s="58"/>
      <c r="S4" s="58"/>
      <c r="T4" s="58"/>
      <c r="U4" s="58"/>
      <c r="V4" s="58"/>
      <c r="W4" s="58"/>
    </row>
    <row r="5" spans="1:24" ht="16.5" hidden="1" x14ac:dyDescent="0.15">
      <c r="A5" s="58"/>
      <c r="B5" s="58"/>
      <c r="C5" s="58"/>
      <c r="D5" s="58"/>
      <c r="E5" s="58"/>
      <c r="F5" s="58"/>
      <c r="G5" s="58" t="s">
        <v>92</v>
      </c>
      <c r="H5" s="58" t="s">
        <v>22</v>
      </c>
      <c r="J5" s="58">
        <v>4</v>
      </c>
      <c r="K5" s="64" t="s">
        <v>99</v>
      </c>
      <c r="L5" s="50" t="s">
        <v>76</v>
      </c>
      <c r="M5" s="63" t="s">
        <v>73</v>
      </c>
      <c r="N5" s="63" t="s">
        <v>104</v>
      </c>
      <c r="O5" s="58"/>
      <c r="P5" s="58"/>
      <c r="Q5" s="58"/>
      <c r="R5" s="58"/>
      <c r="S5" s="58"/>
      <c r="T5" s="58"/>
      <c r="U5" s="58"/>
      <c r="V5" s="58"/>
      <c r="W5" s="58"/>
    </row>
    <row r="6" spans="1:24" ht="16.5" hidden="1" x14ac:dyDescent="0.15">
      <c r="A6" s="58"/>
      <c r="B6" s="58"/>
      <c r="C6" s="58"/>
      <c r="D6" s="58"/>
      <c r="E6" s="58"/>
      <c r="F6" s="58"/>
      <c r="G6" s="58" t="s">
        <v>23</v>
      </c>
      <c r="H6" s="58" t="s">
        <v>22</v>
      </c>
      <c r="J6" s="58">
        <v>5</v>
      </c>
      <c r="K6" s="64" t="s">
        <v>99</v>
      </c>
      <c r="L6" s="50" t="s">
        <v>79</v>
      </c>
      <c r="M6" s="63" t="s">
        <v>83</v>
      </c>
      <c r="N6" s="63" t="s">
        <v>104</v>
      </c>
      <c r="O6" s="58"/>
      <c r="P6" s="58"/>
      <c r="Q6" s="58"/>
      <c r="R6" s="58"/>
      <c r="S6" s="58"/>
      <c r="T6" s="58"/>
      <c r="U6" s="58"/>
      <c r="V6" s="58"/>
      <c r="W6" s="58"/>
    </row>
    <row r="7" spans="1:24" ht="16.5" hidden="1" x14ac:dyDescent="0.15">
      <c r="A7" s="58"/>
      <c r="B7" s="58"/>
      <c r="C7" s="58"/>
      <c r="D7" s="58"/>
      <c r="E7" s="58"/>
      <c r="F7" s="58"/>
      <c r="G7" s="58" t="s">
        <v>9</v>
      </c>
      <c r="H7" s="58" t="s">
        <v>22</v>
      </c>
      <c r="J7" s="58">
        <v>6</v>
      </c>
      <c r="K7" s="64" t="s">
        <v>99</v>
      </c>
      <c r="L7" s="50" t="s">
        <v>80</v>
      </c>
      <c r="M7" s="63" t="s">
        <v>84</v>
      </c>
      <c r="N7" s="63" t="s">
        <v>104</v>
      </c>
      <c r="O7" s="58"/>
      <c r="P7" s="58"/>
      <c r="Q7" s="58"/>
      <c r="R7" s="58"/>
      <c r="S7" s="58"/>
      <c r="T7" s="58"/>
      <c r="U7" s="58"/>
      <c r="V7" s="58"/>
      <c r="W7" s="58"/>
    </row>
    <row r="8" spans="1:24" ht="16.5" hidden="1" x14ac:dyDescent="0.15">
      <c r="A8" s="58"/>
      <c r="B8" s="58"/>
      <c r="C8" s="58"/>
      <c r="D8" s="58"/>
      <c r="E8" s="58"/>
      <c r="F8" s="58"/>
      <c r="G8" s="58"/>
      <c r="H8" s="58"/>
      <c r="J8" s="58">
        <v>7</v>
      </c>
      <c r="K8" s="64" t="s">
        <v>99</v>
      </c>
      <c r="L8" s="50" t="s">
        <v>81</v>
      </c>
      <c r="M8" s="63" t="s">
        <v>85</v>
      </c>
      <c r="N8" s="63" t="s">
        <v>104</v>
      </c>
      <c r="O8" s="58"/>
      <c r="P8" s="58"/>
      <c r="Q8" s="58"/>
      <c r="R8" s="58"/>
      <c r="S8" s="58"/>
      <c r="T8" s="58"/>
      <c r="U8" s="58"/>
      <c r="V8" s="58"/>
      <c r="W8" s="58"/>
    </row>
    <row r="9" spans="1:24" ht="16.5" hidden="1" x14ac:dyDescent="0.15">
      <c r="A9" s="58"/>
      <c r="B9" s="58"/>
      <c r="C9" s="58"/>
      <c r="D9" s="58"/>
      <c r="E9" s="58"/>
      <c r="F9" s="58"/>
      <c r="G9" s="58"/>
      <c r="H9" s="58"/>
      <c r="J9" s="58">
        <v>8</v>
      </c>
      <c r="K9" s="64" t="s">
        <v>99</v>
      </c>
      <c r="L9" s="50" t="s">
        <v>82</v>
      </c>
      <c r="M9" s="63" t="s">
        <v>86</v>
      </c>
      <c r="N9" s="63" t="s">
        <v>104</v>
      </c>
      <c r="O9" s="58"/>
      <c r="P9" s="58"/>
      <c r="Q9" s="58"/>
      <c r="R9" s="58"/>
      <c r="S9" s="58"/>
      <c r="T9" s="58"/>
      <c r="U9" s="58"/>
      <c r="V9" s="58"/>
      <c r="W9" s="58"/>
    </row>
    <row r="10" spans="1:24" ht="16.5" hidden="1" x14ac:dyDescent="0.15">
      <c r="E10" s="58"/>
      <c r="F10" s="58"/>
      <c r="G10" s="58"/>
      <c r="H10" s="58"/>
      <c r="J10" s="58">
        <v>9</v>
      </c>
      <c r="K10" s="64" t="s">
        <v>99</v>
      </c>
      <c r="L10" s="50" t="s">
        <v>103</v>
      </c>
      <c r="M10" s="63" t="s">
        <v>128</v>
      </c>
      <c r="N10" s="63" t="s">
        <v>105</v>
      </c>
      <c r="O10" s="58"/>
      <c r="P10" s="58"/>
      <c r="Q10" s="58"/>
      <c r="R10" s="58"/>
      <c r="S10" s="58"/>
      <c r="T10" s="58"/>
      <c r="U10" s="58"/>
      <c r="V10" s="58"/>
      <c r="W10" s="58"/>
    </row>
    <row r="11" spans="1:24" ht="16.5" hidden="1" x14ac:dyDescent="0.15">
      <c r="E11" s="58"/>
      <c r="F11" s="58"/>
      <c r="G11" s="58"/>
      <c r="H11" s="58"/>
      <c r="I11" s="58"/>
      <c r="J11" s="58">
        <v>10</v>
      </c>
      <c r="K11" s="64" t="s">
        <v>99</v>
      </c>
      <c r="L11" s="50" t="s">
        <v>121</v>
      </c>
      <c r="M11" s="63" t="s">
        <v>122</v>
      </c>
      <c r="N11" s="63" t="s">
        <v>105</v>
      </c>
      <c r="O11" s="58"/>
      <c r="P11" s="58"/>
      <c r="Q11" s="58"/>
      <c r="R11" s="58"/>
      <c r="S11" s="58"/>
      <c r="T11" s="58"/>
      <c r="U11" s="58"/>
      <c r="V11" s="58"/>
      <c r="W11" s="58"/>
    </row>
    <row r="12" spans="1:24" ht="16.5" hidden="1" x14ac:dyDescent="0.15">
      <c r="E12" s="58"/>
      <c r="F12" s="58"/>
      <c r="G12" s="58"/>
      <c r="H12" s="58"/>
      <c r="I12" s="58"/>
      <c r="J12" s="58">
        <v>11</v>
      </c>
      <c r="K12" s="64" t="s">
        <v>99</v>
      </c>
      <c r="L12" s="50" t="s">
        <v>87</v>
      </c>
      <c r="M12" s="63" t="s">
        <v>123</v>
      </c>
      <c r="N12" s="63" t="s">
        <v>105</v>
      </c>
      <c r="O12" s="58"/>
      <c r="P12" s="58"/>
      <c r="Q12" s="58"/>
      <c r="R12" s="58"/>
      <c r="S12" s="58"/>
      <c r="T12" s="58"/>
      <c r="U12" s="58"/>
      <c r="V12" s="58"/>
      <c r="W12" s="58"/>
    </row>
    <row r="13" spans="1:24" ht="16.5" hidden="1" x14ac:dyDescent="0.15">
      <c r="E13" s="58"/>
      <c r="F13" s="58"/>
      <c r="I13" s="58"/>
      <c r="J13" s="58">
        <v>12</v>
      </c>
      <c r="K13" s="64" t="s">
        <v>99</v>
      </c>
      <c r="L13" s="50" t="s">
        <v>88</v>
      </c>
      <c r="M13" s="63" t="s">
        <v>124</v>
      </c>
      <c r="N13" s="63" t="s">
        <v>105</v>
      </c>
      <c r="O13" s="58"/>
      <c r="P13" s="58"/>
      <c r="Q13" s="58"/>
      <c r="R13" s="58"/>
      <c r="S13" s="58"/>
      <c r="T13" s="58"/>
      <c r="U13" s="58"/>
      <c r="V13" s="58"/>
      <c r="W13" s="58"/>
    </row>
    <row r="14" spans="1:24" ht="16.5" hidden="1" x14ac:dyDescent="0.15">
      <c r="E14" s="58"/>
      <c r="F14" s="58"/>
      <c r="I14" s="58"/>
      <c r="J14" s="58">
        <v>13</v>
      </c>
      <c r="K14" s="64" t="s">
        <v>99</v>
      </c>
      <c r="L14" s="50" t="s">
        <v>89</v>
      </c>
      <c r="M14" s="63" t="s">
        <v>125</v>
      </c>
      <c r="N14" s="63" t="s">
        <v>105</v>
      </c>
      <c r="O14" s="58"/>
      <c r="P14" s="58"/>
      <c r="Q14" s="58"/>
      <c r="R14" s="58"/>
      <c r="S14" s="58"/>
      <c r="T14" s="58"/>
      <c r="U14" s="58"/>
      <c r="V14" s="58"/>
      <c r="W14" s="58"/>
    </row>
    <row r="15" spans="1:24" ht="16.5" hidden="1" x14ac:dyDescent="0.15">
      <c r="E15" s="58"/>
      <c r="F15" s="58"/>
      <c r="I15" s="58"/>
      <c r="J15" s="58">
        <v>14</v>
      </c>
      <c r="K15" s="64" t="s">
        <v>99</v>
      </c>
      <c r="L15" s="50" t="s">
        <v>90</v>
      </c>
      <c r="M15" s="63" t="s">
        <v>126</v>
      </c>
      <c r="N15" s="63" t="s">
        <v>105</v>
      </c>
      <c r="O15" s="58"/>
      <c r="P15" s="58"/>
      <c r="Q15" s="58"/>
      <c r="R15" s="58"/>
      <c r="S15" s="58"/>
      <c r="T15" s="58"/>
      <c r="U15" s="58"/>
      <c r="V15" s="58"/>
      <c r="W15" s="58"/>
    </row>
    <row r="16" spans="1:24" ht="16.5" hidden="1" x14ac:dyDescent="0.15">
      <c r="E16" s="58"/>
      <c r="F16" s="58"/>
      <c r="I16" s="58"/>
      <c r="O16" s="58"/>
      <c r="P16" s="58"/>
      <c r="Q16" s="58"/>
      <c r="R16" s="58"/>
      <c r="S16" s="58"/>
      <c r="T16" s="58"/>
      <c r="U16" s="58"/>
      <c r="V16" s="58"/>
      <c r="W16" s="58"/>
    </row>
    <row r="17" spans="1:27" ht="16.5" hidden="1" x14ac:dyDescent="0.15">
      <c r="A17" s="58">
        <v>1</v>
      </c>
      <c r="B17" s="66" t="s">
        <v>24</v>
      </c>
      <c r="C17" s="58" t="s">
        <v>25</v>
      </c>
      <c r="D17" s="58" t="s">
        <v>74</v>
      </c>
      <c r="E17" s="58" t="s">
        <v>60</v>
      </c>
      <c r="F17" s="58" t="s">
        <v>61</v>
      </c>
      <c r="G17" s="58" t="s">
        <v>26</v>
      </c>
      <c r="H17" s="58" t="s">
        <v>27</v>
      </c>
      <c r="I17" s="58" t="s">
        <v>28</v>
      </c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1:27" ht="16.5" hidden="1" x14ac:dyDescent="0.15">
      <c r="A18" s="58">
        <v>2</v>
      </c>
      <c r="B18" s="66" t="s">
        <v>29</v>
      </c>
      <c r="C18" s="58" t="s">
        <v>30</v>
      </c>
      <c r="D18" s="58" t="s">
        <v>74</v>
      </c>
      <c r="E18" s="58" t="s">
        <v>60</v>
      </c>
      <c r="F18" s="58" t="s">
        <v>61</v>
      </c>
      <c r="G18" s="58" t="s">
        <v>26</v>
      </c>
      <c r="H18" s="58" t="s">
        <v>0</v>
      </c>
      <c r="I18" s="58" t="s">
        <v>31</v>
      </c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1:27" ht="16.5" hidden="1" x14ac:dyDescent="0.15">
      <c r="A19" s="58">
        <v>3</v>
      </c>
      <c r="B19" s="58"/>
      <c r="C19" s="58" t="s">
        <v>28</v>
      </c>
      <c r="D19" s="58" t="s">
        <v>68</v>
      </c>
      <c r="E19" s="58" t="s">
        <v>67</v>
      </c>
      <c r="F19" s="58" t="s">
        <v>0</v>
      </c>
      <c r="G19" s="58" t="s">
        <v>32</v>
      </c>
      <c r="H19" s="58" t="s">
        <v>0</v>
      </c>
      <c r="I19" s="58" t="s">
        <v>33</v>
      </c>
      <c r="J19" s="66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1:27" ht="16.5" hidden="1" x14ac:dyDescent="0.15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</row>
    <row r="21" spans="1:27" ht="16.5" hidden="1" x14ac:dyDescent="0.15">
      <c r="A21" s="67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</row>
    <row r="22" spans="1:27" ht="16.5" hidden="1" x14ac:dyDescent="0.15">
      <c r="A22" s="58"/>
      <c r="B22" s="58"/>
      <c r="C22" s="58" t="s">
        <v>34</v>
      </c>
      <c r="D22" s="58"/>
      <c r="E22" s="58"/>
      <c r="F22" s="58"/>
      <c r="G22" s="58"/>
      <c r="H22" s="58" t="s">
        <v>35</v>
      </c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</row>
    <row r="23" spans="1:27" ht="16.5" hidden="1" x14ac:dyDescent="0.15">
      <c r="A23" s="58"/>
      <c r="B23" s="58"/>
      <c r="C23" s="68" t="str">
        <f>C17</f>
        <v>If (mA)</v>
      </c>
      <c r="D23" s="68" t="str">
        <f>D17</f>
        <v>Vf (V)</v>
      </c>
      <c r="E23" s="68" t="str">
        <f t="shared" ref="E23:F23" si="2">E17</f>
        <v>Vf_min (V)</v>
      </c>
      <c r="F23" s="68" t="str">
        <f t="shared" si="2"/>
        <v>Vf_max (V)</v>
      </c>
      <c r="G23" s="68" t="str">
        <f>G17</f>
        <v>Pd (W)</v>
      </c>
      <c r="H23" s="68" t="str">
        <f>H17</f>
        <v>lm/W</v>
      </c>
      <c r="I23" s="68" t="str">
        <f>Simulator!M9</f>
        <v>Tj (C)</v>
      </c>
      <c r="J23" s="69" t="str">
        <f>C18</f>
        <v>φv (lm)</v>
      </c>
      <c r="K23" s="69" t="str">
        <f>D18</f>
        <v>Vf (V)</v>
      </c>
      <c r="L23" s="69" t="str">
        <f t="shared" ref="L23:M23" si="3">E18</f>
        <v>Vf_min (V)</v>
      </c>
      <c r="M23" s="69" t="str">
        <f t="shared" si="3"/>
        <v>Vf_max (V)</v>
      </c>
      <c r="N23" s="69" t="str">
        <f>G18</f>
        <v>Pd (W)</v>
      </c>
      <c r="O23" s="69" t="str">
        <f>H18</f>
        <v>lm/W</v>
      </c>
      <c r="P23" s="69" t="str">
        <f>Simulator!M9</f>
        <v>Tj (C)</v>
      </c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</row>
    <row r="24" spans="1:27" ht="16.5" hidden="1" x14ac:dyDescent="0.15">
      <c r="A24" s="58"/>
      <c r="B24" s="58"/>
      <c r="C24" s="68" t="str">
        <f>CONCATENATE($A17,C17)</f>
        <v>1If (mA)</v>
      </c>
      <c r="D24" s="68" t="str">
        <f>CONCATENATE($A17,D17)</f>
        <v>1Vf (V)</v>
      </c>
      <c r="E24" s="68" t="str">
        <f t="shared" ref="E24:F24" si="4">CONCATENATE($A17,E17)</f>
        <v>1Vf_min (V)</v>
      </c>
      <c r="F24" s="68" t="str">
        <f t="shared" si="4"/>
        <v>1Vf_max (V)</v>
      </c>
      <c r="G24" s="68" t="str">
        <f>CONCATENATE($A17,G17)</f>
        <v>1Pd (W)</v>
      </c>
      <c r="H24" s="68" t="str">
        <f>CONCATENATE($A17,H17)</f>
        <v>1lm/W</v>
      </c>
      <c r="I24" s="68" t="str">
        <f>CONCATENATE($A17,I23)</f>
        <v>1Tj (C)</v>
      </c>
      <c r="J24" s="69" t="str">
        <f>CONCATENATE($A18,C18)</f>
        <v>2φv (lm)</v>
      </c>
      <c r="K24" s="69" t="str">
        <f>CONCATENATE($A18,D18)</f>
        <v>2Vf (V)</v>
      </c>
      <c r="L24" s="69" t="str">
        <f t="shared" ref="L24:M24" si="5">CONCATENATE($A18,E18)</f>
        <v>2Vf_min (V)</v>
      </c>
      <c r="M24" s="69" t="str">
        <f t="shared" si="5"/>
        <v>2Vf_max (V)</v>
      </c>
      <c r="N24" s="69" t="str">
        <f>CONCATENATE($A18,G18)</f>
        <v>2Pd (W)</v>
      </c>
      <c r="O24" s="69" t="str">
        <f>CONCATENATE($A18,H18)</f>
        <v>2lm/W</v>
      </c>
      <c r="P24" s="69" t="str">
        <f>CONCATENATE($A18,P23)</f>
        <v>2Tj (C)</v>
      </c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</row>
    <row r="25" spans="1:27" ht="16.5" hidden="1" x14ac:dyDescent="0.15">
      <c r="A25" s="58"/>
      <c r="B25" s="58" t="str">
        <f>B2</f>
        <v>PSL440-0404C4</v>
      </c>
      <c r="C25" s="70" t="str">
        <f>IF(Calculation_445!U103,Calculation_445!N77,"Not Applicable")</f>
        <v>Not Applicable</v>
      </c>
      <c r="D25" s="71" t="str">
        <f>IF(Calculation_445!U103,Calculation_445!R77,"Not Applicable")</f>
        <v>Not Applicable</v>
      </c>
      <c r="E25" s="71" t="str">
        <f>IF(Calculation_445!U103,Calculation_445!P77,"Not Applicable")</f>
        <v>Not Applicable</v>
      </c>
      <c r="F25" s="71" t="str">
        <f>IF(Calculation_445!U103,Calculation_445!Q77,"Not Applicable")</f>
        <v>Not Applicable</v>
      </c>
      <c r="G25" s="71" t="str">
        <f>IF(Calculation_445!U103,Calculation_445!S77,"Not Applicable")</f>
        <v>Not Applicable</v>
      </c>
      <c r="H25" s="71" t="str">
        <f>IF(Calculation_445!U103,Calculation_445!U77,"Not Applicable")</f>
        <v>Not Applicable</v>
      </c>
      <c r="I25" s="71" t="str">
        <f>IF(Calculation_445!W103,Calculation_445!X77,"Not Applicable")</f>
        <v>Not Applicable</v>
      </c>
      <c r="J25" s="70" t="str">
        <f>IF(Calculation_445!U163,Calculation_445!N137,"Not Applicable")</f>
        <v>Not Applicable</v>
      </c>
      <c r="K25" s="71" t="str">
        <f>IF(Calculation_445!U163,Calculation_445!R137,"Not Applicable")</f>
        <v>Not Applicable</v>
      </c>
      <c r="L25" s="71" t="str">
        <f>IF(Calculation_445!U163,Calculation_445!P137,"Not Applicable")</f>
        <v>Not Applicable</v>
      </c>
      <c r="M25" s="71" t="str">
        <f>IF(Calculation_445!U163,Calculation_445!Q137,"Not Applicable")</f>
        <v>Not Applicable</v>
      </c>
      <c r="N25" s="71" t="str">
        <f>IF(Calculation_445!U163,Calculation_445!S137,"Not Applicable")</f>
        <v>Not Applicable</v>
      </c>
      <c r="O25" s="71" t="str">
        <f>IF(Calculation_445!U163,Calculation_445!U137,"Not Applicable")</f>
        <v>Not Applicable</v>
      </c>
      <c r="P25" s="71" t="str">
        <f>IF(Calculation_445!W163,Calculation_445!X137,"Not Applicable")</f>
        <v>Not Applicable</v>
      </c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</row>
    <row r="26" spans="1:27" ht="16.5" hidden="1" x14ac:dyDescent="0.15">
      <c r="A26" s="58"/>
      <c r="B26" s="58" t="str">
        <f>B3</f>
        <v>PSL445-0405C4</v>
      </c>
      <c r="C26" s="70">
        <f>IF(Calculation_445!U104,Calculation_445!N78,"Not Applicable")</f>
        <v>172.78869488613918</v>
      </c>
      <c r="D26" s="71">
        <f>IF(Calculation_445!U104,Calculation_445!R78,"Not Applicable")</f>
        <v>11.01257911537904</v>
      </c>
      <c r="E26" s="71">
        <f>IF(Calculation_445!U104,Calculation_445!P78,"Not Applicable")</f>
        <v>10.131572786148718</v>
      </c>
      <c r="F26" s="71">
        <f>IF(Calculation_445!U104,Calculation_445!Q78,"Not Applicable")</f>
        <v>11.893585444609364</v>
      </c>
      <c r="G26" s="71">
        <f>IF(Calculation_445!U104,Calculation_445!S78,"Not Applicable")</f>
        <v>1.9028491726766974</v>
      </c>
      <c r="H26" s="71">
        <f>IF(Calculation_445!U104,Calculation_445!U78,"Not Applicable")</f>
        <v>183.9347043505621</v>
      </c>
      <c r="I26" s="71">
        <f>IF(Calculation_445!W104,Calculation_445!X78,"Not Applicable")</f>
        <v>30.327977683494751</v>
      </c>
      <c r="J26" s="70">
        <f>IF(Calculation_445!U164,Calculation_445!N138,"Not Applicable")</f>
        <v>685.84433485810302</v>
      </c>
      <c r="K26" s="71">
        <f>IF(Calculation_445!U164,Calculation_445!R138,"Not Applicable")</f>
        <v>11.488122604501358</v>
      </c>
      <c r="L26" s="71">
        <f>IF(Calculation_445!U164,Calculation_445!P138,"Not Applicable")</f>
        <v>10.569072796141249</v>
      </c>
      <c r="M26" s="71">
        <f>IF(Calculation_445!U164,Calculation_445!Q138,"Not Applicable")</f>
        <v>12.407172412861467</v>
      </c>
      <c r="N26" s="71">
        <f>IF(Calculation_445!U164,Calculation_445!S138,"Not Applicable")</f>
        <v>4.0208429115754756</v>
      </c>
      <c r="O26" s="71">
        <f>IF(Calculation_445!U164,Calculation_445!U138,"Not Applicable")</f>
        <v>170.57227798769452</v>
      </c>
      <c r="P26" s="71">
        <f>IF(Calculation_445!W164,Calculation_445!X138,"Not Applicable")</f>
        <v>36.258360152411328</v>
      </c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</row>
    <row r="27" spans="1:27" ht="16.5" hidden="1" x14ac:dyDescent="0.15">
      <c r="A27" s="58"/>
      <c r="B27" s="58" t="e">
        <f>#REF!</f>
        <v>#REF!</v>
      </c>
      <c r="C27" s="70" t="str">
        <f>IF(Calculation_445!U105,Calculation_445!N79,"Not Applicable")</f>
        <v>Not Applicable</v>
      </c>
      <c r="D27" s="71" t="str">
        <f>IF(Calculation_445!U105,Calculation_445!R79,"Not Applicable")</f>
        <v>Not Applicable</v>
      </c>
      <c r="E27" s="71" t="str">
        <f>IF(Calculation_445!U105,Calculation_445!P79,"Not Applicable")</f>
        <v>Not Applicable</v>
      </c>
      <c r="F27" s="71" t="str">
        <f>IF(Calculation_445!U105,Calculation_445!Q79,"Not Applicable")</f>
        <v>Not Applicable</v>
      </c>
      <c r="G27" s="71" t="str">
        <f>IF(Calculation_445!U105,Calculation_445!S79,"Not Applicable")</f>
        <v>Not Applicable</v>
      </c>
      <c r="H27" s="71" t="str">
        <f>IF(Calculation_445!U105,Calculation_445!U79,"Not Applicable")</f>
        <v>Not Applicable</v>
      </c>
      <c r="I27" s="71" t="str">
        <f>IF(Calculation_445!W105,Calculation_445!X79,"Not Applicable")</f>
        <v>Not Applicable</v>
      </c>
      <c r="J27" s="70" t="e">
        <f>IF(Calculation_445!U165,Calculation_445!N139,"Not Applicable")</f>
        <v>#DIV/0!</v>
      </c>
      <c r="K27" s="71" t="e">
        <f>IF(Calculation_445!U165,Calculation_445!R139,"Not Applicable")</f>
        <v>#DIV/0!</v>
      </c>
      <c r="L27" s="71" t="e">
        <f>IF(Calculation_445!U165,Calculation_445!P139,"Not Applicable")</f>
        <v>#DIV/0!</v>
      </c>
      <c r="M27" s="71" t="e">
        <f>IF(Calculation_445!U165,Calculation_445!Q139,"Not Applicable")</f>
        <v>#DIV/0!</v>
      </c>
      <c r="N27" s="71" t="e">
        <f>IF(Calculation_445!U165,Calculation_445!S139,"Not Applicable")</f>
        <v>#DIV/0!</v>
      </c>
      <c r="O27" s="71" t="e">
        <f>IF(Calculation_445!U165,Calculation_445!U139,"Not Applicable")</f>
        <v>#DIV/0!</v>
      </c>
      <c r="P27" s="71" t="e">
        <f>IF(Calculation_445!W165,Calculation_445!X139,"Not Applicable")</f>
        <v>#DIV/0!</v>
      </c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</row>
    <row r="28" spans="1:27" ht="16.5" hidden="1" x14ac:dyDescent="0.15">
      <c r="A28" s="58"/>
      <c r="B28" s="58" t="e">
        <f>#REF!</f>
        <v>#REF!</v>
      </c>
      <c r="C28" s="70" t="str">
        <f>IF(Calculation_445!U106,Calculation_445!N80,"Not Applicable")</f>
        <v>Not Applicable</v>
      </c>
      <c r="D28" s="71" t="str">
        <f>IF(Calculation_445!U106,Calculation_445!R80,"Not Applicable")</f>
        <v>Not Applicable</v>
      </c>
      <c r="E28" s="71" t="str">
        <f>IF(Calculation_445!U106,Calculation_445!P80,"Not Applicable")</f>
        <v>Not Applicable</v>
      </c>
      <c r="F28" s="71" t="str">
        <f>IF(Calculation_445!U106,Calculation_445!Q80,"Not Applicable")</f>
        <v>Not Applicable</v>
      </c>
      <c r="G28" s="71" t="str">
        <f>IF(Calculation_445!U106,Calculation_445!S80,"Not Applicable")</f>
        <v>Not Applicable</v>
      </c>
      <c r="H28" s="71" t="str">
        <f>IF(Calculation_445!U106,Calculation_445!U80,"Not Applicable")</f>
        <v>Not Applicable</v>
      </c>
      <c r="I28" s="71" t="str">
        <f>IF(Calculation_445!W106,Calculation_445!X80,"Not Applicable")</f>
        <v>Not Applicable</v>
      </c>
      <c r="J28" s="70" t="e">
        <f>IF(Calculation_445!U166,Calculation_445!N140,"Not Applicable")</f>
        <v>#DIV/0!</v>
      </c>
      <c r="K28" s="71" t="e">
        <f>IF(Calculation_445!U166,Calculation_445!R140,"Not Applicable")</f>
        <v>#DIV/0!</v>
      </c>
      <c r="L28" s="71" t="e">
        <f>IF(Calculation_445!U166,Calculation_445!P140,"Not Applicable")</f>
        <v>#DIV/0!</v>
      </c>
      <c r="M28" s="71" t="e">
        <f>IF(Calculation_445!U166,Calculation_445!Q140,"Not Applicable")</f>
        <v>#DIV/0!</v>
      </c>
      <c r="N28" s="71" t="e">
        <f>IF(Calculation_445!U166,Calculation_445!S140,"Not Applicable")</f>
        <v>#DIV/0!</v>
      </c>
      <c r="O28" s="71" t="e">
        <f>IF(Calculation_445!U166,Calculation_445!U140,"Not Applicable")</f>
        <v>#DIV/0!</v>
      </c>
      <c r="P28" s="71" t="e">
        <f>IF(Calculation_445!W166,Calculation_445!X140,"Not Applicable")</f>
        <v>#DIV/0!</v>
      </c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</row>
    <row r="29" spans="1:27" ht="16.5" hidden="1" x14ac:dyDescent="0.15">
      <c r="A29" s="58"/>
      <c r="B29" s="58" t="e">
        <f>#REF!</f>
        <v>#REF!</v>
      </c>
      <c r="C29" s="70" t="str">
        <f>IF(Calculation_445!U107,Calculation_445!N81,"Not Applicable")</f>
        <v>Not Applicable</v>
      </c>
      <c r="D29" s="71" t="str">
        <f>IF(Calculation_445!U107,Calculation_445!R81,"Not Applicable")</f>
        <v>Not Applicable</v>
      </c>
      <c r="E29" s="71" t="str">
        <f>IF(Calculation_445!U107,Calculation_445!P81,"Not Applicable")</f>
        <v>Not Applicable</v>
      </c>
      <c r="F29" s="71" t="str">
        <f>IF(Calculation_445!U107,Calculation_445!Q81,"Not Applicable")</f>
        <v>Not Applicable</v>
      </c>
      <c r="G29" s="71" t="str">
        <f>IF(Calculation_445!U107,Calculation_445!S81,"Not Applicable")</f>
        <v>Not Applicable</v>
      </c>
      <c r="H29" s="71" t="str">
        <f>IF(Calculation_445!U107,Calculation_445!U81,"Not Applicable")</f>
        <v>Not Applicable</v>
      </c>
      <c r="I29" s="71" t="str">
        <f>IF(Calculation_445!W107,Calculation_445!X81,"Not Applicable")</f>
        <v>Not Applicable</v>
      </c>
      <c r="J29" s="70" t="e">
        <f>IF(Calculation_445!U167,Calculation_445!N141,"Not Applicable")</f>
        <v>#DIV/0!</v>
      </c>
      <c r="K29" s="71" t="e">
        <f>IF(Calculation_445!U167,Calculation_445!R141,"Not Applicable")</f>
        <v>#DIV/0!</v>
      </c>
      <c r="L29" s="71" t="e">
        <f>IF(Calculation_445!U167,Calculation_445!P141,"Not Applicable")</f>
        <v>#DIV/0!</v>
      </c>
      <c r="M29" s="71" t="e">
        <f>IF(Calculation_445!U167,Calculation_445!Q141,"Not Applicable")</f>
        <v>#DIV/0!</v>
      </c>
      <c r="N29" s="71" t="e">
        <f>IF(Calculation_445!U167,Calculation_445!S141,"Not Applicable")</f>
        <v>#DIV/0!</v>
      </c>
      <c r="O29" s="71" t="e">
        <f>IF(Calculation_445!U167,Calculation_445!U141,"Not Applicable")</f>
        <v>#DIV/0!</v>
      </c>
      <c r="P29" s="71" t="e">
        <f>IF(Calculation_445!W167,Calculation_445!X141,"Not Applicable")</f>
        <v>#DIV/0!</v>
      </c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</row>
    <row r="30" spans="1:27" ht="16.5" hidden="1" x14ac:dyDescent="0.15">
      <c r="A30" s="58"/>
      <c r="B30" s="58" t="e">
        <f>#REF!</f>
        <v>#REF!</v>
      </c>
      <c r="C30" s="70" t="str">
        <f>IF(Calculation_445!U108,Calculation_445!N82,"Not Applicable")</f>
        <v>Not Applicable</v>
      </c>
      <c r="D30" s="71" t="str">
        <f>IF(Calculation_445!U108,Calculation_445!R82,"Not Applicable")</f>
        <v>Not Applicable</v>
      </c>
      <c r="E30" s="71" t="str">
        <f>IF(Calculation_445!U108,Calculation_445!P82,"Not Applicable")</f>
        <v>Not Applicable</v>
      </c>
      <c r="F30" s="71" t="str">
        <f>IF(Calculation_445!U108,Calculation_445!Q82,"Not Applicable")</f>
        <v>Not Applicable</v>
      </c>
      <c r="G30" s="71" t="str">
        <f>IF(Calculation_445!U108,Calculation_445!S82,"Not Applicable")</f>
        <v>Not Applicable</v>
      </c>
      <c r="H30" s="71" t="str">
        <f>IF(Calculation_445!U108,Calculation_445!U82,"Not Applicable")</f>
        <v>Not Applicable</v>
      </c>
      <c r="I30" s="71" t="str">
        <f>IF(Calculation_445!W108,Calculation_445!X82,"Not Applicable")</f>
        <v>Not Applicable</v>
      </c>
      <c r="J30" s="70" t="e">
        <f>IF(Calculation_445!U168,Calculation_445!N142,"Not Applicable")</f>
        <v>#DIV/0!</v>
      </c>
      <c r="K30" s="71" t="e">
        <f>IF(Calculation_445!U168,Calculation_445!R142,"Not Applicable")</f>
        <v>#DIV/0!</v>
      </c>
      <c r="L30" s="71" t="e">
        <f>IF(Calculation_445!U168,Calculation_445!P142,"Not Applicable")</f>
        <v>#DIV/0!</v>
      </c>
      <c r="M30" s="71" t="e">
        <f>IF(Calculation_445!U168,Calculation_445!Q142,"Not Applicable")</f>
        <v>#DIV/0!</v>
      </c>
      <c r="N30" s="71" t="e">
        <f>IF(Calculation_445!U168,Calculation_445!S142,"Not Applicable")</f>
        <v>#DIV/0!</v>
      </c>
      <c r="O30" s="71" t="e">
        <f>IF(Calculation_445!U168,Calculation_445!U142,"Not Applicable")</f>
        <v>#DIV/0!</v>
      </c>
      <c r="P30" s="71" t="e">
        <f>IF(Calculation_445!W168,Calculation_445!X142,"Not Applicable")</f>
        <v>#DIV/0!</v>
      </c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</row>
    <row r="31" spans="1:27" ht="16.5" hidden="1" x14ac:dyDescent="0.15">
      <c r="A31" s="58"/>
      <c r="B31" s="58" t="e">
        <f>#REF!</f>
        <v>#REF!</v>
      </c>
      <c r="C31" s="70" t="str">
        <f>IF(Calculation_445!U109,Calculation_445!N83,"Not Applicable")</f>
        <v>Not Applicable</v>
      </c>
      <c r="D31" s="71" t="str">
        <f>IF(Calculation_445!U109,Calculation_445!R83,"Not Applicable")</f>
        <v>Not Applicable</v>
      </c>
      <c r="E31" s="71" t="str">
        <f>IF(Calculation_445!U109,Calculation_445!P83,"Not Applicable")</f>
        <v>Not Applicable</v>
      </c>
      <c r="F31" s="71" t="str">
        <f>IF(Calculation_445!U109,Calculation_445!Q83,"Not Applicable")</f>
        <v>Not Applicable</v>
      </c>
      <c r="G31" s="71" t="str">
        <f>IF(Calculation_445!U109,Calculation_445!S83,"Not Applicable")</f>
        <v>Not Applicable</v>
      </c>
      <c r="H31" s="71" t="str">
        <f>IF(Calculation_445!U109,Calculation_445!U83,"Not Applicable")</f>
        <v>Not Applicable</v>
      </c>
      <c r="I31" s="71" t="str">
        <f>IF(Calculation_445!W109,Calculation_445!X83,"Not Applicable")</f>
        <v>Not Applicable</v>
      </c>
      <c r="J31" s="70" t="e">
        <f>IF(Calculation_445!U169,Calculation_445!N143,"Not Applicable")</f>
        <v>#DIV/0!</v>
      </c>
      <c r="K31" s="71" t="e">
        <f>IF(Calculation_445!U169,Calculation_445!R143,"Not Applicable")</f>
        <v>#DIV/0!</v>
      </c>
      <c r="L31" s="71" t="e">
        <f>IF(Calculation_445!U169,Calculation_445!P143,"Not Applicable")</f>
        <v>#DIV/0!</v>
      </c>
      <c r="M31" s="71" t="e">
        <f>IF(Calculation_445!U169,Calculation_445!Q143,"Not Applicable")</f>
        <v>#DIV/0!</v>
      </c>
      <c r="N31" s="71" t="e">
        <f>IF(Calculation_445!U169,Calculation_445!S143,"Not Applicable")</f>
        <v>#DIV/0!</v>
      </c>
      <c r="O31" s="71" t="e">
        <f>IF(Calculation_445!U169,Calculation_445!U143,"Not Applicable")</f>
        <v>#DIV/0!</v>
      </c>
      <c r="P31" s="71" t="e">
        <f>IF(Calculation_445!W169,Calculation_445!X143,"Not Applicable")</f>
        <v>#DIV/0!</v>
      </c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</row>
    <row r="32" spans="1:27" ht="16.5" hidden="1" x14ac:dyDescent="0.15">
      <c r="A32" s="58"/>
      <c r="B32" s="58" t="e">
        <f>#REF!</f>
        <v>#REF!</v>
      </c>
      <c r="C32" s="70" t="str">
        <f>IF(Calculation_445!U110,Calculation_445!N84,"Not Applicable")</f>
        <v>Not Applicable</v>
      </c>
      <c r="D32" s="71" t="str">
        <f>IF(Calculation_445!U110,Calculation_445!R84,"Not Applicable")</f>
        <v>Not Applicable</v>
      </c>
      <c r="E32" s="71" t="str">
        <f>IF(Calculation_445!U110,Calculation_445!P84,"Not Applicable")</f>
        <v>Not Applicable</v>
      </c>
      <c r="F32" s="71" t="str">
        <f>IF(Calculation_445!U110,Calculation_445!Q84,"Not Applicable")</f>
        <v>Not Applicable</v>
      </c>
      <c r="G32" s="71" t="str">
        <f>IF(Calculation_445!U110,Calculation_445!S84,"Not Applicable")</f>
        <v>Not Applicable</v>
      </c>
      <c r="H32" s="71" t="str">
        <f>IF(Calculation_445!U110,Calculation_445!U84,"Not Applicable")</f>
        <v>Not Applicable</v>
      </c>
      <c r="I32" s="71" t="str">
        <f>IF(Calculation_445!W110,Calculation_445!X84,"Not Applicable")</f>
        <v>Not Applicable</v>
      </c>
      <c r="J32" s="70" t="e">
        <f>IF(Calculation_445!U170,Calculation_445!N144,"Not Applicable")</f>
        <v>#DIV/0!</v>
      </c>
      <c r="K32" s="71" t="e">
        <f>IF(Calculation_445!U170,Calculation_445!R144,"Not Applicable")</f>
        <v>#DIV/0!</v>
      </c>
      <c r="L32" s="71" t="e">
        <f>IF(Calculation_445!U170,Calculation_445!P144,"Not Applicable")</f>
        <v>#DIV/0!</v>
      </c>
      <c r="M32" s="71" t="e">
        <f>IF(Calculation_445!U170,Calculation_445!Q144,"Not Applicable")</f>
        <v>#DIV/0!</v>
      </c>
      <c r="N32" s="71" t="e">
        <f>IF(Calculation_445!U170,Calculation_445!S144,"Not Applicable")</f>
        <v>#DIV/0!</v>
      </c>
      <c r="O32" s="71" t="e">
        <f>IF(Calculation_445!U170,Calculation_445!U144,"Not Applicable")</f>
        <v>#DIV/0!</v>
      </c>
      <c r="P32" s="71" t="e">
        <f>IF(Calculation_445!W170,Calculation_445!X144,"Not Applicable")</f>
        <v>#DIV/0!</v>
      </c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</row>
    <row r="33" spans="1:32" ht="16.5" hidden="1" x14ac:dyDescent="0.15">
      <c r="A33" s="58"/>
      <c r="B33" s="58" t="e">
        <f>#REF!</f>
        <v>#REF!</v>
      </c>
      <c r="C33" s="70" t="str">
        <f>IF(Calculation_445!U111,Calculation_445!N85,"Not Applicable")</f>
        <v>Not Applicable</v>
      </c>
      <c r="D33" s="71" t="str">
        <f>IF(Calculation_445!U111,Calculation_445!R85,"Not Applicable")</f>
        <v>Not Applicable</v>
      </c>
      <c r="E33" s="71" t="str">
        <f>IF(Calculation_445!U111,Calculation_445!P85,"Not Applicable")</f>
        <v>Not Applicable</v>
      </c>
      <c r="F33" s="71" t="str">
        <f>IF(Calculation_445!U111,Calculation_445!Q85,"Not Applicable")</f>
        <v>Not Applicable</v>
      </c>
      <c r="G33" s="71" t="str">
        <f>IF(Calculation_445!U111,Calculation_445!S85,"Not Applicable")</f>
        <v>Not Applicable</v>
      </c>
      <c r="H33" s="71" t="str">
        <f>IF(Calculation_445!U111,Calculation_445!U85,"Not Applicable")</f>
        <v>Not Applicable</v>
      </c>
      <c r="I33" s="71" t="str">
        <f>IF(Calculation_445!W111,Calculation_445!X85,"Not Applicable")</f>
        <v>Not Applicable</v>
      </c>
      <c r="J33" s="70" t="e">
        <f>IF(Calculation_445!U171,Calculation_445!N145,"Not Applicable")</f>
        <v>#DIV/0!</v>
      </c>
      <c r="K33" s="71" t="e">
        <f>IF(Calculation_445!U171,Calculation_445!R145,"Not Applicable")</f>
        <v>#DIV/0!</v>
      </c>
      <c r="L33" s="71" t="e">
        <f>IF(Calculation_445!U171,Calculation_445!P145,"Not Applicable")</f>
        <v>#DIV/0!</v>
      </c>
      <c r="M33" s="71" t="e">
        <f>IF(Calculation_445!U171,Calculation_445!Q145,"Not Applicable")</f>
        <v>#DIV/0!</v>
      </c>
      <c r="N33" s="71" t="e">
        <f>IF(Calculation_445!U171,Calculation_445!S145,"Not Applicable")</f>
        <v>#DIV/0!</v>
      </c>
      <c r="O33" s="71" t="e">
        <f>IF(Calculation_445!U171,Calculation_445!U145,"Not Applicable")</f>
        <v>#DIV/0!</v>
      </c>
      <c r="P33" s="71" t="e">
        <f>IF(Calculation_445!W171,Calculation_445!X145,"Not Applicable")</f>
        <v>#DIV/0!</v>
      </c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</row>
    <row r="34" spans="1:32" ht="16.5" hidden="1" x14ac:dyDescent="0.15">
      <c r="A34" s="58"/>
      <c r="B34" s="58" t="e">
        <f>#REF!</f>
        <v>#REF!</v>
      </c>
      <c r="C34" s="70" t="str">
        <f>IF(Calculation_445!U112,Calculation_445!N86,"Not Applicable")</f>
        <v>Not Applicable</v>
      </c>
      <c r="D34" s="71" t="str">
        <f>IF(Calculation_445!U112,Calculation_445!R86,"Not Applicable")</f>
        <v>Not Applicable</v>
      </c>
      <c r="E34" s="71" t="str">
        <f>IF(Calculation_445!U112,Calculation_445!P86,"Not Applicable")</f>
        <v>Not Applicable</v>
      </c>
      <c r="F34" s="71" t="str">
        <f>IF(Calculation_445!U112,Calculation_445!Q86,"Not Applicable")</f>
        <v>Not Applicable</v>
      </c>
      <c r="G34" s="71" t="str">
        <f>IF(Calculation_445!U112,Calculation_445!S86,"Not Applicable")</f>
        <v>Not Applicable</v>
      </c>
      <c r="H34" s="71" t="str">
        <f>IF(Calculation_445!U112,Calculation_445!U86,"Not Applicable")</f>
        <v>Not Applicable</v>
      </c>
      <c r="I34" s="71" t="str">
        <f>IF(Calculation_445!W112,Calculation_445!X86,"Not Applicable")</f>
        <v>Not Applicable</v>
      </c>
      <c r="J34" s="70" t="e">
        <f>IF(Calculation_445!U172,Calculation_445!N146,"Not Applicable")</f>
        <v>#DIV/0!</v>
      </c>
      <c r="K34" s="71" t="e">
        <f>IF(Calculation_445!U172,Calculation_445!R146,"Not Applicable")</f>
        <v>#DIV/0!</v>
      </c>
      <c r="L34" s="71" t="e">
        <f>IF(Calculation_445!U172,Calculation_445!P146,"Not Applicable")</f>
        <v>#DIV/0!</v>
      </c>
      <c r="M34" s="71" t="e">
        <f>IF(Calculation_445!U172,Calculation_445!Q146,"Not Applicable")</f>
        <v>#DIV/0!</v>
      </c>
      <c r="N34" s="71" t="e">
        <f>IF(Calculation_445!U172,Calculation_445!S146,"Not Applicable")</f>
        <v>#DIV/0!</v>
      </c>
      <c r="O34" s="71" t="e">
        <f>IF(Calculation_445!U172,Calculation_445!U146,"Not Applicable")</f>
        <v>#DIV/0!</v>
      </c>
      <c r="P34" s="71" t="e">
        <f>IF(Calculation_445!W172,Calculation_445!X146,"Not Applicable")</f>
        <v>#DIV/0!</v>
      </c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</row>
    <row r="35" spans="1:32" ht="16.5" hidden="1" x14ac:dyDescent="0.15">
      <c r="A35" s="58"/>
      <c r="B35" s="58" t="e">
        <f>#REF!</f>
        <v>#REF!</v>
      </c>
      <c r="C35" s="70" t="str">
        <f>IF(Calculation_445!U113,Calculation_445!N87,"Not Applicable")</f>
        <v>Not Applicable</v>
      </c>
      <c r="D35" s="71" t="str">
        <f>IF(Calculation_445!U113,Calculation_445!R87,"Not Applicable")</f>
        <v>Not Applicable</v>
      </c>
      <c r="E35" s="71" t="str">
        <f>IF(Calculation_445!U113,Calculation_445!P87,"Not Applicable")</f>
        <v>Not Applicable</v>
      </c>
      <c r="F35" s="71" t="str">
        <f>IF(Calculation_445!U113,Calculation_445!Q87,"Not Applicable")</f>
        <v>Not Applicable</v>
      </c>
      <c r="G35" s="71" t="str">
        <f>IF(Calculation_445!U113,Calculation_445!S87,"Not Applicable")</f>
        <v>Not Applicable</v>
      </c>
      <c r="H35" s="71" t="str">
        <f>IF(Calculation_445!U113,Calculation_445!U87,"Not Applicable")</f>
        <v>Not Applicable</v>
      </c>
      <c r="I35" s="71" t="str">
        <f>IF(Calculation_445!W113,Calculation_445!X87,"Not Applicable")</f>
        <v>Not Applicable</v>
      </c>
      <c r="J35" s="70" t="e">
        <f>IF(Calculation_445!U173,Calculation_445!N147,"Not Applicable")</f>
        <v>#DIV/0!</v>
      </c>
      <c r="K35" s="71" t="e">
        <f>IF(Calculation_445!U173,Calculation_445!R147,"Not Applicable")</f>
        <v>#DIV/0!</v>
      </c>
      <c r="L35" s="71" t="e">
        <f>IF(Calculation_445!U173,Calculation_445!P147,"Not Applicable")</f>
        <v>#DIV/0!</v>
      </c>
      <c r="M35" s="71" t="e">
        <f>IF(Calculation_445!U173,Calculation_445!Q147,"Not Applicable")</f>
        <v>#DIV/0!</v>
      </c>
      <c r="N35" s="71" t="e">
        <f>IF(Calculation_445!U173,Calculation_445!S147,"Not Applicable")</f>
        <v>#DIV/0!</v>
      </c>
      <c r="O35" s="71" t="e">
        <f>IF(Calculation_445!U173,Calculation_445!U147,"Not Applicable")</f>
        <v>#DIV/0!</v>
      </c>
      <c r="P35" s="71" t="e">
        <f>IF(Calculation_445!W173,Calculation_445!X147,"Not Applicable")</f>
        <v>#DIV/0!</v>
      </c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</row>
    <row r="36" spans="1:32" ht="16.5" hidden="1" x14ac:dyDescent="0.15">
      <c r="A36" s="58"/>
      <c r="B36" s="58" t="e">
        <f>#REF!</f>
        <v>#REF!</v>
      </c>
      <c r="C36" s="70" t="str">
        <f>IF(Calculation_445!U114,Calculation_445!N88,"Not Applicable")</f>
        <v>Not Applicable</v>
      </c>
      <c r="D36" s="71" t="str">
        <f>IF(Calculation_445!U114,Calculation_445!R88,"Not Applicable")</f>
        <v>Not Applicable</v>
      </c>
      <c r="E36" s="71" t="str">
        <f>IF(Calculation_445!U114,Calculation_445!P88,"Not Applicable")</f>
        <v>Not Applicable</v>
      </c>
      <c r="F36" s="71" t="str">
        <f>IF(Calculation_445!U114,Calculation_445!Q88,"Not Applicable")</f>
        <v>Not Applicable</v>
      </c>
      <c r="G36" s="71" t="str">
        <f>IF(Calculation_445!U114,Calculation_445!S88,"Not Applicable")</f>
        <v>Not Applicable</v>
      </c>
      <c r="H36" s="71" t="str">
        <f>IF(Calculation_445!U114,Calculation_445!U88,"Not Applicable")</f>
        <v>Not Applicable</v>
      </c>
      <c r="I36" s="71" t="str">
        <f>IF(Calculation_445!W114,Calculation_445!X88,"Not Applicable")</f>
        <v>Not Applicable</v>
      </c>
      <c r="J36" s="70" t="e">
        <f>IF(Calculation_445!U174,Calculation_445!N148,"Not Applicable")</f>
        <v>#DIV/0!</v>
      </c>
      <c r="K36" s="71" t="e">
        <f>IF(Calculation_445!U174,Calculation_445!R148,"Not Applicable")</f>
        <v>#DIV/0!</v>
      </c>
      <c r="L36" s="71" t="e">
        <f>IF(Calculation_445!U174,Calculation_445!P148,"Not Applicable")</f>
        <v>#DIV/0!</v>
      </c>
      <c r="M36" s="71" t="e">
        <f>IF(Calculation_445!U174,Calculation_445!Q148,"Not Applicable")</f>
        <v>#DIV/0!</v>
      </c>
      <c r="N36" s="71" t="e">
        <f>IF(Calculation_445!U174,Calculation_445!S148,"Not Applicable")</f>
        <v>#DIV/0!</v>
      </c>
      <c r="O36" s="71" t="e">
        <f>IF(Calculation_445!U174,Calculation_445!U148,"Not Applicable")</f>
        <v>#DIV/0!</v>
      </c>
      <c r="P36" s="71" t="e">
        <f>IF(Calculation_445!W174,Calculation_445!X148,"Not Applicable")</f>
        <v>#DIV/0!</v>
      </c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</row>
    <row r="37" spans="1:32" ht="16.5" hidden="1" x14ac:dyDescent="0.15">
      <c r="A37" s="58"/>
      <c r="B37" s="58" t="e">
        <f>#REF!</f>
        <v>#REF!</v>
      </c>
      <c r="C37" s="70" t="str">
        <f>IF(Calculation_445!U115,Calculation_445!N89,"Not Applicable")</f>
        <v>Not Applicable</v>
      </c>
      <c r="D37" s="71" t="str">
        <f>IF(Calculation_445!U115,Calculation_445!R89,"Not Applicable")</f>
        <v>Not Applicable</v>
      </c>
      <c r="E37" s="71" t="str">
        <f>IF(Calculation_445!U115,Calculation_445!P89,"Not Applicable")</f>
        <v>Not Applicable</v>
      </c>
      <c r="F37" s="71" t="str">
        <f>IF(Calculation_445!U115,Calculation_445!Q89,"Not Applicable")</f>
        <v>Not Applicable</v>
      </c>
      <c r="G37" s="71" t="str">
        <f>IF(Calculation_445!U115,Calculation_445!S89,"Not Applicable")</f>
        <v>Not Applicable</v>
      </c>
      <c r="H37" s="71" t="str">
        <f>IF(Calculation_445!U115,Calculation_445!U89,"Not Applicable")</f>
        <v>Not Applicable</v>
      </c>
      <c r="I37" s="71" t="str">
        <f>IF(Calculation_445!W115,Calculation_445!X89,"Not Applicable")</f>
        <v>Not Applicable</v>
      </c>
      <c r="J37" s="70" t="e">
        <f>IF(Calculation_445!U175,Calculation_445!N149,"Not Applicable")</f>
        <v>#DIV/0!</v>
      </c>
      <c r="K37" s="71" t="e">
        <f>IF(Calculation_445!U175,Calculation_445!R149,"Not Applicable")</f>
        <v>#DIV/0!</v>
      </c>
      <c r="L37" s="71" t="e">
        <f>IF(Calculation_445!U175,Calculation_445!P149,"Not Applicable")</f>
        <v>#DIV/0!</v>
      </c>
      <c r="M37" s="71" t="e">
        <f>IF(Calculation_445!U175,Calculation_445!Q149,"Not Applicable")</f>
        <v>#DIV/0!</v>
      </c>
      <c r="N37" s="71" t="e">
        <f>IF(Calculation_445!U175,Calculation_445!S149,"Not Applicable")</f>
        <v>#DIV/0!</v>
      </c>
      <c r="O37" s="71" t="e">
        <f>IF(Calculation_445!U175,Calculation_445!U149,"Not Applicable")</f>
        <v>#DIV/0!</v>
      </c>
      <c r="P37" s="71" t="e">
        <f>IF(Calculation_445!W175,Calculation_445!X149,"Not Applicable")</f>
        <v>#DIV/0!</v>
      </c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</row>
    <row r="38" spans="1:32" ht="16.5" hidden="1" x14ac:dyDescent="0.15">
      <c r="A38" s="58"/>
      <c r="B38" s="58" t="e">
        <f>#REF!</f>
        <v>#REF!</v>
      </c>
      <c r="C38" s="70" t="str">
        <f>IF(Calculation_445!U116,Calculation_445!N90,"Not Applicable")</f>
        <v>Not Applicable</v>
      </c>
      <c r="D38" s="71" t="str">
        <f>IF(Calculation_445!U116,Calculation_445!R90,"Not Applicable")</f>
        <v>Not Applicable</v>
      </c>
      <c r="E38" s="71" t="str">
        <f>IF(Calculation_445!U116,Calculation_445!P90,"Not Applicable")</f>
        <v>Not Applicable</v>
      </c>
      <c r="F38" s="71" t="str">
        <f>IF(Calculation_445!U116,Calculation_445!Q90,"Not Applicable")</f>
        <v>Not Applicable</v>
      </c>
      <c r="G38" s="71" t="str">
        <f>IF(Calculation_445!U116,Calculation_445!S90,"Not Applicable")</f>
        <v>Not Applicable</v>
      </c>
      <c r="H38" s="71" t="str">
        <f>IF(Calculation_445!U116,Calculation_445!U90,"Not Applicable")</f>
        <v>Not Applicable</v>
      </c>
      <c r="I38" s="71" t="str">
        <f>IF(Calculation_445!W116,Calculation_445!X90,"Not Applicable")</f>
        <v>Not Applicable</v>
      </c>
      <c r="J38" s="70" t="e">
        <f>IF(Calculation_445!U176,Calculation_445!N150,"Not Applicable")</f>
        <v>#DIV/0!</v>
      </c>
      <c r="K38" s="71" t="e">
        <f>IF(Calculation_445!U176,Calculation_445!R150,"Not Applicable")</f>
        <v>#DIV/0!</v>
      </c>
      <c r="L38" s="71" t="e">
        <f>IF(Calculation_445!U176,Calculation_445!P150,"Not Applicable")</f>
        <v>#DIV/0!</v>
      </c>
      <c r="M38" s="71" t="e">
        <f>IF(Calculation_445!U176,Calculation_445!Q150,"Not Applicable")</f>
        <v>#DIV/0!</v>
      </c>
      <c r="N38" s="71" t="e">
        <f>IF(Calculation_445!U176,Calculation_445!S150,"Not Applicable")</f>
        <v>#DIV/0!</v>
      </c>
      <c r="O38" s="71" t="e">
        <f>IF(Calculation_445!U176,Calculation_445!U150,"Not Applicable")</f>
        <v>#DIV/0!</v>
      </c>
      <c r="P38" s="71" t="e">
        <f>IF(Calculation_445!W176,Calculation_445!X150,"Not Applicable")</f>
        <v>#DIV/0!</v>
      </c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</row>
    <row r="39" spans="1:32" ht="16.5" hidden="1" x14ac:dyDescent="0.1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U39" s="58"/>
      <c r="V39" s="58"/>
      <c r="W39" s="58"/>
    </row>
    <row r="40" spans="1:32" ht="16.5" hidden="1" x14ac:dyDescent="0.15">
      <c r="A40" s="58"/>
      <c r="B40" s="66" t="s">
        <v>36</v>
      </c>
      <c r="C40" s="66"/>
      <c r="D40" s="66"/>
      <c r="E40" s="58"/>
      <c r="F40" s="58"/>
      <c r="G40" s="58"/>
      <c r="H40" s="58"/>
      <c r="I40" s="58"/>
      <c r="J40" s="58"/>
      <c r="L40" s="58" t="s">
        <v>131</v>
      </c>
      <c r="M40" s="58"/>
      <c r="N40" s="58"/>
      <c r="O40" s="58"/>
      <c r="P40" s="58"/>
      <c r="Q40" s="58"/>
      <c r="R40" s="58"/>
      <c r="U40" s="58"/>
      <c r="V40" s="58"/>
      <c r="W40" s="58"/>
    </row>
    <row r="41" spans="1:32" ht="16.5" hidden="1" x14ac:dyDescent="0.15">
      <c r="A41" s="58"/>
      <c r="B41" s="66" t="s">
        <v>37</v>
      </c>
      <c r="C41" s="66" t="s">
        <v>38</v>
      </c>
      <c r="D41" s="66" t="s">
        <v>39</v>
      </c>
      <c r="E41" s="66"/>
      <c r="F41" s="58"/>
      <c r="G41" s="58"/>
      <c r="H41" s="58"/>
      <c r="I41" s="58"/>
      <c r="L41" s="72">
        <v>1</v>
      </c>
      <c r="M41" s="72">
        <v>2</v>
      </c>
      <c r="N41" s="135"/>
      <c r="O41" s="135"/>
      <c r="P41" s="73">
        <v>3</v>
      </c>
      <c r="Q41" s="73">
        <v>4</v>
      </c>
      <c r="R41" s="73">
        <v>5</v>
      </c>
      <c r="S41" s="73">
        <v>6</v>
      </c>
      <c r="T41" s="73">
        <v>7</v>
      </c>
      <c r="U41" s="73">
        <v>8</v>
      </c>
      <c r="V41" s="74">
        <v>9</v>
      </c>
      <c r="W41" s="74">
        <v>10</v>
      </c>
      <c r="X41" s="74">
        <v>11</v>
      </c>
      <c r="Y41" s="74">
        <v>12</v>
      </c>
      <c r="Z41" s="75">
        <v>13</v>
      </c>
      <c r="AA41" s="75">
        <v>14</v>
      </c>
      <c r="AB41" s="139"/>
      <c r="AC41" s="139"/>
      <c r="AD41" s="139"/>
      <c r="AE41" s="139"/>
      <c r="AF41" s="139"/>
    </row>
    <row r="42" spans="1:32" ht="16.5" hidden="1" x14ac:dyDescent="0.15">
      <c r="A42" s="58"/>
      <c r="B42" s="66"/>
      <c r="C42" s="66">
        <v>5</v>
      </c>
      <c r="D42" s="66">
        <v>225</v>
      </c>
      <c r="E42" s="66"/>
      <c r="F42" s="58"/>
      <c r="G42" s="58"/>
      <c r="H42" s="58"/>
      <c r="I42" s="58"/>
      <c r="J42" s="51" t="s">
        <v>113</v>
      </c>
      <c r="K42" s="51"/>
      <c r="L42" s="72" t="str">
        <f t="shared" ref="L42:AF42" si="6">L59</f>
        <v>5000K,70Min</v>
      </c>
      <c r="M42" s="72" t="str">
        <f t="shared" si="6"/>
        <v>4000K,70Min</v>
      </c>
      <c r="N42" s="135" t="e">
        <f t="shared" si="6"/>
        <v>#REF!</v>
      </c>
      <c r="O42" s="135" t="e">
        <f t="shared" si="6"/>
        <v>#REF!</v>
      </c>
      <c r="P42" s="73" t="str">
        <f t="shared" si="6"/>
        <v>5700K,80Min</v>
      </c>
      <c r="Q42" s="73" t="str">
        <f t="shared" si="6"/>
        <v>5000K,80Min</v>
      </c>
      <c r="R42" s="73" t="str">
        <f t="shared" si="6"/>
        <v>4000K,80Min</v>
      </c>
      <c r="S42" s="73" t="str">
        <f t="shared" si="6"/>
        <v>3500K,80Min</v>
      </c>
      <c r="T42" s="73" t="str">
        <f t="shared" si="6"/>
        <v>3000K,80Min</v>
      </c>
      <c r="U42" s="73" t="str">
        <f t="shared" si="6"/>
        <v>2700K,80Min</v>
      </c>
      <c r="V42" s="74" t="str">
        <f t="shared" si="6"/>
        <v>5700K,90Min On BBL</v>
      </c>
      <c r="W42" s="74" t="str">
        <f t="shared" si="6"/>
        <v>5000K,90Min On BBL</v>
      </c>
      <c r="X42" s="74" t="str">
        <f t="shared" si="6"/>
        <v>4000K,90Min On BBL</v>
      </c>
      <c r="Y42" s="74" t="str">
        <f t="shared" si="6"/>
        <v>3500K,90Min On BBL</v>
      </c>
      <c r="Z42" s="74" t="str">
        <f t="shared" si="6"/>
        <v>3000K,90Min On BBL</v>
      </c>
      <c r="AA42" s="74" t="str">
        <f t="shared" si="6"/>
        <v>2700K,90Min On BBL</v>
      </c>
      <c r="AB42" s="135" t="e">
        <f t="shared" si="6"/>
        <v>#REF!</v>
      </c>
      <c r="AC42" s="135" t="e">
        <f t="shared" si="6"/>
        <v>#REF!</v>
      </c>
      <c r="AD42" s="140" t="e">
        <f t="shared" si="6"/>
        <v>#REF!</v>
      </c>
      <c r="AE42" s="140" t="e">
        <f t="shared" si="6"/>
        <v>#REF!</v>
      </c>
      <c r="AF42" s="140" t="e">
        <f t="shared" si="6"/>
        <v>#REF!</v>
      </c>
    </row>
    <row r="43" spans="1:32" ht="16.5" hidden="1" x14ac:dyDescent="0.15">
      <c r="A43" s="58"/>
      <c r="B43" s="66" t="s">
        <v>134</v>
      </c>
      <c r="C43" s="66" t="s">
        <v>39</v>
      </c>
      <c r="D43" s="66" t="s">
        <v>38</v>
      </c>
      <c r="E43" s="58"/>
      <c r="F43" s="58"/>
      <c r="G43" s="58"/>
      <c r="H43" s="58"/>
      <c r="I43" s="76"/>
      <c r="J43" s="134" t="s">
        <v>129</v>
      </c>
      <c r="K43" s="52"/>
      <c r="L43" s="77">
        <v>1025</v>
      </c>
      <c r="M43" s="77">
        <v>1009</v>
      </c>
      <c r="N43" s="136"/>
      <c r="O43" s="136"/>
      <c r="P43" s="77">
        <v>940</v>
      </c>
      <c r="Q43" s="78">
        <v>920</v>
      </c>
      <c r="R43" s="78">
        <v>900</v>
      </c>
      <c r="S43" s="78">
        <v>895</v>
      </c>
      <c r="T43" s="78">
        <v>875</v>
      </c>
      <c r="U43" s="78">
        <v>840</v>
      </c>
      <c r="V43" s="77">
        <v>755</v>
      </c>
      <c r="W43" s="79">
        <v>735</v>
      </c>
      <c r="X43" s="79">
        <v>730</v>
      </c>
      <c r="Y43" s="79">
        <v>725</v>
      </c>
      <c r="Z43" s="79">
        <v>715</v>
      </c>
      <c r="AA43" s="77">
        <v>675</v>
      </c>
      <c r="AB43" s="136"/>
      <c r="AC43" s="136"/>
      <c r="AD43" s="136"/>
      <c r="AE43" s="136"/>
      <c r="AF43" s="136"/>
    </row>
    <row r="44" spans="1:32" ht="16.5" hidden="1" x14ac:dyDescent="0.4">
      <c r="A44" s="58"/>
      <c r="B44" s="66"/>
      <c r="C44" s="66">
        <v>105</v>
      </c>
      <c r="D44" s="66">
        <v>-30</v>
      </c>
      <c r="E44" s="58"/>
      <c r="F44" s="58"/>
      <c r="G44" s="58"/>
      <c r="H44" s="58"/>
      <c r="I44" s="76"/>
      <c r="J44" s="53" t="s">
        <v>130</v>
      </c>
      <c r="K44" s="52">
        <f>Tsスペック算出!K8</f>
        <v>0.91857578750773383</v>
      </c>
      <c r="L44" s="77">
        <v>630</v>
      </c>
      <c r="M44" s="77">
        <v>620</v>
      </c>
      <c r="N44" s="136"/>
      <c r="O44" s="136"/>
      <c r="P44" s="77">
        <v>585</v>
      </c>
      <c r="Q44" s="78">
        <v>575</v>
      </c>
      <c r="R44" s="78">
        <v>570</v>
      </c>
      <c r="S44" s="78">
        <v>565</v>
      </c>
      <c r="T44" s="78">
        <v>545</v>
      </c>
      <c r="U44" s="78">
        <v>535</v>
      </c>
      <c r="V44" s="77">
        <v>510</v>
      </c>
      <c r="W44" s="79">
        <v>500</v>
      </c>
      <c r="X44" s="79">
        <v>495</v>
      </c>
      <c r="Y44" s="79">
        <v>465</v>
      </c>
      <c r="Z44" s="79">
        <v>455</v>
      </c>
      <c r="AA44" s="77">
        <v>430</v>
      </c>
      <c r="AB44" s="136"/>
      <c r="AC44" s="136"/>
      <c r="AD44" s="141"/>
      <c r="AE44" s="141"/>
      <c r="AF44" s="141"/>
    </row>
    <row r="45" spans="1:32" ht="16.5" hidden="1" x14ac:dyDescent="0.4">
      <c r="A45" s="58"/>
      <c r="B45" s="66" t="s">
        <v>40</v>
      </c>
      <c r="C45" s="66" t="s">
        <v>39</v>
      </c>
      <c r="D45" s="66" t="s">
        <v>38</v>
      </c>
      <c r="E45" s="58"/>
      <c r="F45" s="58"/>
      <c r="G45" s="58"/>
      <c r="H45" s="58"/>
      <c r="I45" s="76"/>
      <c r="J45" s="53"/>
      <c r="K45" s="52"/>
      <c r="L45" s="78"/>
      <c r="M45" s="78"/>
      <c r="N45" s="136"/>
      <c r="O45" s="136"/>
      <c r="P45" s="77"/>
      <c r="Q45" s="78"/>
      <c r="R45" s="78"/>
      <c r="S45" s="78"/>
      <c r="T45" s="78"/>
      <c r="U45" s="78"/>
      <c r="V45" s="77"/>
      <c r="W45" s="79"/>
      <c r="X45" s="79"/>
      <c r="Y45" s="79"/>
      <c r="Z45" s="79"/>
      <c r="AA45" s="77"/>
      <c r="AB45" s="136"/>
      <c r="AC45" s="136"/>
      <c r="AD45" s="141"/>
      <c r="AE45" s="141"/>
      <c r="AF45" s="141"/>
    </row>
    <row r="46" spans="1:32" ht="16.5" hidden="1" x14ac:dyDescent="0.4">
      <c r="A46" s="58"/>
      <c r="B46" s="66"/>
      <c r="C46" s="66">
        <v>140</v>
      </c>
      <c r="D46" s="66">
        <v>-25</v>
      </c>
      <c r="E46" s="58"/>
      <c r="F46" s="58"/>
      <c r="G46" s="58"/>
      <c r="H46" s="58"/>
      <c r="I46" s="76"/>
      <c r="J46" s="53"/>
      <c r="K46" s="52"/>
      <c r="L46" s="78"/>
      <c r="M46" s="78"/>
      <c r="N46" s="136"/>
      <c r="O46" s="136"/>
      <c r="P46" s="77"/>
      <c r="Q46" s="78"/>
      <c r="R46" s="78"/>
      <c r="S46" s="78"/>
      <c r="T46" s="78"/>
      <c r="U46" s="78"/>
      <c r="V46" s="77"/>
      <c r="W46" s="79"/>
      <c r="X46" s="79"/>
      <c r="Y46" s="79"/>
      <c r="Z46" s="79"/>
      <c r="AA46" s="137"/>
      <c r="AB46" s="142"/>
      <c r="AC46" s="142"/>
      <c r="AD46" s="141"/>
      <c r="AE46" s="141"/>
      <c r="AF46" s="141"/>
    </row>
    <row r="47" spans="1:32" ht="16.5" hidden="1" x14ac:dyDescent="0.4">
      <c r="A47" s="58"/>
      <c r="B47" s="58"/>
      <c r="C47" s="58"/>
      <c r="D47" s="58"/>
      <c r="E47" s="58"/>
      <c r="F47" s="58"/>
      <c r="G47" s="58"/>
      <c r="H47" s="58"/>
      <c r="I47" s="76"/>
      <c r="J47" s="53"/>
      <c r="K47" s="52"/>
      <c r="L47" s="78"/>
      <c r="M47" s="78"/>
      <c r="N47" s="136"/>
      <c r="O47" s="136"/>
      <c r="P47" s="77"/>
      <c r="Q47" s="78"/>
      <c r="R47" s="78"/>
      <c r="S47" s="78"/>
      <c r="T47" s="78"/>
      <c r="U47" s="78"/>
      <c r="V47" s="77"/>
      <c r="W47" s="79"/>
      <c r="X47" s="79"/>
      <c r="Y47" s="79"/>
      <c r="Z47" s="79"/>
      <c r="AA47" s="80"/>
      <c r="AB47" s="143"/>
      <c r="AC47" s="143"/>
      <c r="AD47" s="141"/>
      <c r="AE47" s="141"/>
      <c r="AF47" s="141"/>
    </row>
    <row r="48" spans="1:32" ht="14.25" hidden="1" customHeight="1" x14ac:dyDescent="0.4">
      <c r="H48" s="58"/>
      <c r="I48" s="81"/>
      <c r="J48" s="53"/>
      <c r="K48" s="52"/>
      <c r="L48" s="78"/>
      <c r="M48" s="78"/>
      <c r="N48" s="136"/>
      <c r="O48" s="136"/>
      <c r="P48" s="77"/>
      <c r="Q48" s="78"/>
      <c r="R48" s="78"/>
      <c r="S48" s="78"/>
      <c r="T48" s="78"/>
      <c r="U48" s="78"/>
      <c r="V48" s="77"/>
      <c r="W48" s="79"/>
      <c r="X48" s="79"/>
      <c r="Y48" s="79"/>
      <c r="Z48" s="79"/>
      <c r="AA48" s="137"/>
      <c r="AB48" s="142"/>
      <c r="AC48" s="142"/>
      <c r="AD48" s="141"/>
      <c r="AE48" s="141"/>
      <c r="AF48" s="141"/>
    </row>
    <row r="49" spans="1:32" ht="18" hidden="1" x14ac:dyDescent="0.4">
      <c r="A49" s="177" t="s">
        <v>114</v>
      </c>
      <c r="B49" s="177"/>
      <c r="C49" s="82" t="s">
        <v>118</v>
      </c>
      <c r="H49" s="58"/>
      <c r="I49" s="76"/>
      <c r="J49" s="53"/>
      <c r="K49" s="52"/>
      <c r="L49" s="78"/>
      <c r="M49" s="78"/>
      <c r="N49" s="136"/>
      <c r="O49" s="136"/>
      <c r="P49" s="77"/>
      <c r="Q49" s="78"/>
      <c r="R49" s="78"/>
      <c r="S49" s="78"/>
      <c r="T49" s="78"/>
      <c r="U49" s="78"/>
      <c r="V49" s="145"/>
      <c r="W49" s="79"/>
      <c r="X49" s="79"/>
      <c r="Y49" s="79"/>
      <c r="Z49" s="79"/>
      <c r="AA49" s="137"/>
      <c r="AB49" s="142"/>
      <c r="AC49" s="142"/>
      <c r="AD49" s="141"/>
      <c r="AE49" s="141"/>
      <c r="AF49" s="141"/>
    </row>
    <row r="50" spans="1:32" ht="16.5" hidden="1" x14ac:dyDescent="0.4">
      <c r="H50" s="58"/>
      <c r="I50" s="76"/>
      <c r="J50" s="53"/>
      <c r="K50" s="52"/>
      <c r="L50" s="78"/>
      <c r="M50" s="78"/>
      <c r="N50" s="136"/>
      <c r="O50" s="136"/>
      <c r="P50" s="77"/>
      <c r="Q50" s="78"/>
      <c r="R50" s="78"/>
      <c r="S50" s="78"/>
      <c r="T50" s="78"/>
      <c r="U50" s="78"/>
      <c r="V50" s="145"/>
      <c r="W50" s="79"/>
      <c r="X50" s="79"/>
      <c r="Y50" s="79"/>
      <c r="Z50" s="79"/>
      <c r="AA50" s="137"/>
      <c r="AB50" s="142"/>
      <c r="AC50" s="142"/>
      <c r="AD50" s="141"/>
      <c r="AE50" s="141"/>
      <c r="AF50" s="141"/>
    </row>
    <row r="51" spans="1:32" ht="16.5" hidden="1" x14ac:dyDescent="0.4">
      <c r="C51" s="61" t="s">
        <v>41</v>
      </c>
      <c r="D51" s="61" t="s">
        <v>42</v>
      </c>
      <c r="E51" s="61" t="s">
        <v>43</v>
      </c>
      <c r="F51" s="61" t="s">
        <v>135</v>
      </c>
      <c r="G51" s="61" t="s">
        <v>136</v>
      </c>
      <c r="H51" s="58"/>
      <c r="I51" s="76"/>
      <c r="J51" s="53"/>
      <c r="K51" s="52"/>
      <c r="L51" s="78"/>
      <c r="M51" s="78"/>
      <c r="N51" s="136"/>
      <c r="O51" s="136"/>
      <c r="P51" s="77"/>
      <c r="Q51" s="78"/>
      <c r="R51" s="78"/>
      <c r="S51" s="78"/>
      <c r="T51" s="78"/>
      <c r="U51" s="78"/>
      <c r="V51" s="145"/>
      <c r="W51" s="79"/>
      <c r="X51" s="79"/>
      <c r="Y51" s="79"/>
      <c r="Z51" s="79"/>
      <c r="AA51" s="83"/>
      <c r="AB51" s="144"/>
      <c r="AC51" s="144"/>
      <c r="AD51" s="141"/>
      <c r="AE51" s="141"/>
      <c r="AF51" s="141"/>
    </row>
    <row r="52" spans="1:32" ht="16.5" hidden="1" x14ac:dyDescent="0.4">
      <c r="B52" s="84" t="s">
        <v>44</v>
      </c>
      <c r="C52" s="54">
        <v>1.325581684279552E-8</v>
      </c>
      <c r="D52" s="54">
        <v>0.46671224567701941</v>
      </c>
      <c r="E52" s="54">
        <v>-1.4488963867740539E-6</v>
      </c>
      <c r="F52" s="54">
        <v>5.0684039881566125E-7</v>
      </c>
      <c r="G52" s="54">
        <v>2.6927154478637799E-6</v>
      </c>
      <c r="H52" s="58"/>
      <c r="I52" s="76"/>
      <c r="J52" s="53"/>
      <c r="K52" s="52"/>
      <c r="L52" s="78"/>
      <c r="M52" s="78"/>
      <c r="N52" s="136"/>
      <c r="O52" s="136"/>
      <c r="P52" s="77"/>
      <c r="Q52" s="78"/>
      <c r="R52" s="78"/>
      <c r="S52" s="78"/>
      <c r="T52" s="78"/>
      <c r="U52" s="78"/>
      <c r="V52" s="145"/>
      <c r="W52" s="79"/>
      <c r="X52" s="79"/>
      <c r="Y52" s="79"/>
      <c r="Z52" s="79"/>
      <c r="AA52" s="83"/>
      <c r="AB52" s="144"/>
      <c r="AC52" s="144"/>
      <c r="AD52" s="141"/>
      <c r="AE52" s="141"/>
      <c r="AF52" s="141"/>
    </row>
    <row r="53" spans="1:32" ht="16.5" hidden="1" x14ac:dyDescent="0.4">
      <c r="B53" s="84" t="s">
        <v>45</v>
      </c>
      <c r="C53" s="54">
        <v>-1.6683462722032446E-5</v>
      </c>
      <c r="D53" s="54">
        <v>4.523571700422961</v>
      </c>
      <c r="E53" s="54">
        <v>1.3194312482385363E-3</v>
      </c>
      <c r="F53" s="54">
        <v>-1.711094481396001E-3</v>
      </c>
      <c r="G53" s="54">
        <v>-7.7823048568234599E-4</v>
      </c>
      <c r="H53" s="58"/>
      <c r="I53" s="76"/>
      <c r="J53" s="53"/>
      <c r="K53" s="52"/>
      <c r="L53" s="78"/>
      <c r="M53" s="78"/>
      <c r="N53" s="136"/>
      <c r="O53" s="136"/>
      <c r="P53" s="77"/>
      <c r="Q53" s="78"/>
      <c r="R53" s="78"/>
      <c r="S53" s="78"/>
      <c r="T53" s="78"/>
      <c r="U53" s="78"/>
      <c r="V53" s="145"/>
      <c r="W53" s="79"/>
      <c r="X53" s="79"/>
      <c r="Y53" s="79"/>
      <c r="Z53" s="79"/>
      <c r="AA53" s="77"/>
      <c r="AB53" s="136"/>
      <c r="AC53" s="136"/>
      <c r="AD53" s="141"/>
      <c r="AE53" s="141"/>
      <c r="AF53" s="141"/>
    </row>
    <row r="54" spans="1:32" ht="16.5" hidden="1" x14ac:dyDescent="0.4">
      <c r="B54" s="84" t="s">
        <v>46</v>
      </c>
      <c r="C54" s="54">
        <v>1.5451681544888808E-2</v>
      </c>
      <c r="D54" s="54">
        <v>64.700237371264251</v>
      </c>
      <c r="E54" s="54">
        <v>0.91473940491849537</v>
      </c>
      <c r="F54" s="54">
        <v>1.0424605867856402</v>
      </c>
      <c r="G54" s="54">
        <v>1.0177728149871439</v>
      </c>
      <c r="H54" s="58"/>
      <c r="I54" s="76"/>
      <c r="J54" s="53"/>
      <c r="K54" s="52"/>
      <c r="L54" s="78"/>
      <c r="M54" s="78"/>
      <c r="N54" s="136"/>
      <c r="O54" s="136"/>
      <c r="P54" s="77"/>
      <c r="Q54" s="78"/>
      <c r="R54" s="78"/>
      <c r="S54" s="78"/>
      <c r="T54" s="78"/>
      <c r="U54" s="78"/>
      <c r="V54" s="145"/>
      <c r="W54" s="79"/>
      <c r="X54" s="79"/>
      <c r="Y54" s="79"/>
      <c r="Z54" s="79"/>
      <c r="AA54" s="77"/>
      <c r="AB54" s="136"/>
      <c r="AC54" s="136"/>
      <c r="AD54" s="136"/>
      <c r="AE54" s="136"/>
      <c r="AF54" s="136"/>
    </row>
    <row r="55" spans="1:32" ht="16.5" hidden="1" x14ac:dyDescent="0.4">
      <c r="B55" s="84" t="s">
        <v>56</v>
      </c>
      <c r="C55" s="54">
        <v>-4.415485981336488E-3</v>
      </c>
      <c r="D55" s="54">
        <v>0.29983765623438341</v>
      </c>
      <c r="E55" s="54"/>
      <c r="F55" s="54"/>
      <c r="G55" s="54"/>
      <c r="H55" s="58"/>
      <c r="I55" s="76"/>
      <c r="J55" s="53"/>
      <c r="K55" s="52"/>
      <c r="L55" s="78"/>
      <c r="M55" s="78"/>
      <c r="N55" s="136"/>
      <c r="O55" s="136"/>
      <c r="P55" s="77"/>
      <c r="Q55" s="77"/>
      <c r="R55" s="78"/>
      <c r="S55" s="78"/>
      <c r="T55" s="78"/>
      <c r="U55" s="78"/>
      <c r="V55" s="145"/>
      <c r="W55" s="79"/>
      <c r="X55" s="79"/>
      <c r="Y55" s="79"/>
      <c r="Z55" s="79"/>
      <c r="AA55" s="77"/>
      <c r="AB55" s="136"/>
      <c r="AC55" s="136"/>
      <c r="AD55" s="136"/>
      <c r="AE55" s="136"/>
      <c r="AF55" s="136"/>
    </row>
    <row r="56" spans="1:32" ht="16.5" hidden="1" x14ac:dyDescent="0.4">
      <c r="A56" s="58"/>
      <c r="B56" s="58"/>
      <c r="C56" s="85"/>
      <c r="D56" s="86"/>
      <c r="E56" s="58"/>
      <c r="F56" s="58"/>
      <c r="G56" s="58"/>
      <c r="H56" s="58"/>
      <c r="I56" s="76"/>
      <c r="J56" s="53"/>
      <c r="K56" s="52"/>
      <c r="L56" s="78"/>
      <c r="M56" s="78"/>
      <c r="N56" s="136"/>
      <c r="O56" s="136"/>
      <c r="P56" s="77"/>
      <c r="Q56" s="78"/>
      <c r="R56" s="78"/>
      <c r="S56" s="78"/>
      <c r="T56" s="78"/>
      <c r="U56" s="78"/>
      <c r="V56" s="145"/>
      <c r="W56" s="79"/>
      <c r="X56" s="79"/>
      <c r="Y56" s="79"/>
      <c r="Z56" s="79"/>
      <c r="AA56" s="77"/>
      <c r="AB56" s="136"/>
      <c r="AC56" s="136"/>
      <c r="AD56" s="136"/>
      <c r="AE56" s="136"/>
      <c r="AF56" s="136"/>
    </row>
    <row r="57" spans="1:32" ht="16.5" hidden="1" x14ac:dyDescent="0.15">
      <c r="A57" s="58"/>
      <c r="B57" s="58"/>
      <c r="C57" s="87"/>
      <c r="D57" s="88"/>
      <c r="E57" s="58"/>
      <c r="F57" s="58"/>
      <c r="G57" s="58"/>
      <c r="H57" s="58"/>
      <c r="I57" s="58"/>
      <c r="J57" s="58"/>
      <c r="L57" s="58" t="s">
        <v>133</v>
      </c>
      <c r="M57" s="89"/>
      <c r="N57" s="89"/>
      <c r="O57" s="90"/>
      <c r="P57" s="89"/>
      <c r="Q57" s="89"/>
      <c r="R57" s="89"/>
      <c r="S57" s="89"/>
      <c r="T57" s="89"/>
      <c r="U57" s="91"/>
      <c r="V57" s="89"/>
      <c r="W57" s="89"/>
      <c r="X57" s="84"/>
      <c r="Y57" s="84"/>
      <c r="Z57" s="84"/>
      <c r="AA57" s="138"/>
      <c r="AB57" s="92"/>
    </row>
    <row r="58" spans="1:32" ht="16.5" hidden="1" x14ac:dyDescent="0.15">
      <c r="A58" s="84"/>
      <c r="B58" s="84" t="s">
        <v>41</v>
      </c>
      <c r="C58" s="84" t="s">
        <v>42</v>
      </c>
      <c r="D58" s="84" t="s">
        <v>43</v>
      </c>
      <c r="E58" s="84" t="s">
        <v>135</v>
      </c>
      <c r="F58" s="84" t="s">
        <v>137</v>
      </c>
      <c r="G58" s="58"/>
      <c r="H58" s="89"/>
      <c r="I58" s="89"/>
      <c r="J58" s="89"/>
      <c r="K58" s="89"/>
      <c r="L58" s="72">
        <v>1</v>
      </c>
      <c r="M58" s="72">
        <v>2</v>
      </c>
      <c r="N58" s="135"/>
      <c r="O58" s="135"/>
      <c r="P58" s="73">
        <v>3</v>
      </c>
      <c r="Q58" s="73">
        <v>4</v>
      </c>
      <c r="R58" s="73">
        <v>5</v>
      </c>
      <c r="S58" s="73">
        <v>6</v>
      </c>
      <c r="T58" s="73">
        <v>7</v>
      </c>
      <c r="U58" s="73">
        <v>8</v>
      </c>
      <c r="V58" s="74">
        <v>9</v>
      </c>
      <c r="W58" s="74">
        <v>10</v>
      </c>
      <c r="X58" s="74">
        <v>11</v>
      </c>
      <c r="Y58" s="74">
        <v>12</v>
      </c>
      <c r="Z58" s="75">
        <v>13</v>
      </c>
      <c r="AA58" s="75">
        <v>14</v>
      </c>
      <c r="AB58" s="139"/>
      <c r="AC58" s="139"/>
      <c r="AD58" s="139"/>
      <c r="AE58" s="139"/>
      <c r="AF58" s="139"/>
    </row>
    <row r="59" spans="1:32" ht="16.5" hidden="1" x14ac:dyDescent="0.15">
      <c r="A59" s="84" t="s">
        <v>44</v>
      </c>
      <c r="B59" s="55">
        <f t="shared" ref="B59:F61" si="7">C52</f>
        <v>1.325581684279552E-8</v>
      </c>
      <c r="C59" s="55">
        <f t="shared" si="7"/>
        <v>0.46671224567701941</v>
      </c>
      <c r="D59" s="55">
        <f t="shared" si="7"/>
        <v>-1.4488963867740539E-6</v>
      </c>
      <c r="E59" s="55">
        <f t="shared" si="7"/>
        <v>5.0684039881566125E-7</v>
      </c>
      <c r="F59" s="55">
        <f t="shared" si="7"/>
        <v>2.6927154478637799E-6</v>
      </c>
      <c r="G59" s="58"/>
      <c r="H59" s="56" t="s">
        <v>1</v>
      </c>
      <c r="I59" s="56" t="s">
        <v>2</v>
      </c>
      <c r="J59" s="89"/>
      <c r="K59" s="89" t="s">
        <v>47</v>
      </c>
      <c r="L59" s="72" t="str">
        <f>L2</f>
        <v>5000K,70Min</v>
      </c>
      <c r="M59" s="72" t="str">
        <f>L3</f>
        <v>4000K,70Min</v>
      </c>
      <c r="N59" s="135" t="e">
        <f>#REF!</f>
        <v>#REF!</v>
      </c>
      <c r="O59" s="135" t="e">
        <f>#REF!</f>
        <v>#REF!</v>
      </c>
      <c r="P59" s="73" t="str">
        <f>L4</f>
        <v>5700K,80Min</v>
      </c>
      <c r="Q59" s="73" t="str">
        <f>L5</f>
        <v>5000K,80Min</v>
      </c>
      <c r="R59" s="73" t="str">
        <f>L6</f>
        <v>4000K,80Min</v>
      </c>
      <c r="S59" s="73" t="str">
        <f>L7</f>
        <v>3500K,80Min</v>
      </c>
      <c r="T59" s="73" t="str">
        <f>L8</f>
        <v>3000K,80Min</v>
      </c>
      <c r="U59" s="73" t="str">
        <f>L9</f>
        <v>2700K,80Min</v>
      </c>
      <c r="V59" s="74" t="str">
        <f>L10</f>
        <v>5700K,90Min On BBL</v>
      </c>
      <c r="W59" s="74" t="str">
        <f>L11</f>
        <v>5000K,90Min On BBL</v>
      </c>
      <c r="X59" s="74" t="str">
        <f>L12</f>
        <v>4000K,90Min On BBL</v>
      </c>
      <c r="Y59" s="74" t="str">
        <f>L13</f>
        <v>3500K,90Min On BBL</v>
      </c>
      <c r="Z59" s="74" t="str">
        <f>L14</f>
        <v>3000K,90Min On BBL</v>
      </c>
      <c r="AA59" s="74" t="str">
        <f>L15</f>
        <v>2700K,90Min On BBL</v>
      </c>
      <c r="AB59" s="135" t="e">
        <f>#REF!</f>
        <v>#REF!</v>
      </c>
      <c r="AC59" s="135" t="e">
        <f>#REF!</f>
        <v>#REF!</v>
      </c>
      <c r="AD59" s="140" t="e">
        <f>#REF!</f>
        <v>#REF!</v>
      </c>
      <c r="AE59" s="140" t="e">
        <f>#REF!</f>
        <v>#REF!</v>
      </c>
      <c r="AF59" s="140" t="e">
        <f>#REF!</f>
        <v>#REF!</v>
      </c>
    </row>
    <row r="60" spans="1:32" ht="16.5" hidden="1" x14ac:dyDescent="0.15">
      <c r="A60" s="84" t="s">
        <v>45</v>
      </c>
      <c r="B60" s="55">
        <f t="shared" si="7"/>
        <v>-1.6683462722032446E-5</v>
      </c>
      <c r="C60" s="55">
        <f t="shared" si="7"/>
        <v>4.523571700422961</v>
      </c>
      <c r="D60" s="55">
        <f t="shared" si="7"/>
        <v>1.3194312482385363E-3</v>
      </c>
      <c r="E60" s="55">
        <f t="shared" si="7"/>
        <v>-1.711094481396001E-3</v>
      </c>
      <c r="F60" s="55">
        <f t="shared" si="7"/>
        <v>-7.7823048568234599E-4</v>
      </c>
      <c r="G60" s="58">
        <f>H60*I60</f>
        <v>16</v>
      </c>
      <c r="H60" s="57">
        <v>4</v>
      </c>
      <c r="I60" s="57">
        <v>4</v>
      </c>
      <c r="J60" s="58" t="str">
        <f>B2</f>
        <v>PSL440-0404C4</v>
      </c>
      <c r="K60" s="93">
        <f>Tsスペック算出!J7</f>
        <v>12.209672396366903</v>
      </c>
      <c r="L60" s="78" t="e">
        <f t="shared" ref="L60:AA61" si="8">L43/$K43</f>
        <v>#DIV/0!</v>
      </c>
      <c r="M60" s="78" t="e">
        <f t="shared" si="8"/>
        <v>#DIV/0!</v>
      </c>
      <c r="N60" s="136" t="e">
        <f t="shared" si="8"/>
        <v>#DIV/0!</v>
      </c>
      <c r="O60" s="136" t="e">
        <f t="shared" si="8"/>
        <v>#DIV/0!</v>
      </c>
      <c r="P60" s="78" t="e">
        <f t="shared" si="8"/>
        <v>#DIV/0!</v>
      </c>
      <c r="Q60" s="78" t="e">
        <f t="shared" si="8"/>
        <v>#DIV/0!</v>
      </c>
      <c r="R60" s="78" t="e">
        <f t="shared" si="8"/>
        <v>#DIV/0!</v>
      </c>
      <c r="S60" s="78" t="e">
        <f t="shared" si="8"/>
        <v>#DIV/0!</v>
      </c>
      <c r="T60" s="78" t="e">
        <f t="shared" si="8"/>
        <v>#DIV/0!</v>
      </c>
      <c r="U60" s="78" t="e">
        <f t="shared" si="8"/>
        <v>#DIV/0!</v>
      </c>
      <c r="V60" s="78" t="e">
        <f t="shared" si="8"/>
        <v>#DIV/0!</v>
      </c>
      <c r="W60" s="78" t="e">
        <f t="shared" si="8"/>
        <v>#DIV/0!</v>
      </c>
      <c r="X60" s="78" t="e">
        <f t="shared" si="8"/>
        <v>#DIV/0!</v>
      </c>
      <c r="Y60" s="78" t="e">
        <f t="shared" si="8"/>
        <v>#DIV/0!</v>
      </c>
      <c r="Z60" s="78" t="e">
        <f t="shared" si="8"/>
        <v>#DIV/0!</v>
      </c>
      <c r="AA60" s="78" t="e">
        <f t="shared" si="8"/>
        <v>#DIV/0!</v>
      </c>
      <c r="AB60" s="136"/>
      <c r="AC60" s="136"/>
      <c r="AD60" s="136"/>
      <c r="AE60" s="136"/>
      <c r="AF60" s="136"/>
    </row>
    <row r="61" spans="1:32" ht="16.5" hidden="1" x14ac:dyDescent="0.15">
      <c r="A61" s="84" t="s">
        <v>46</v>
      </c>
      <c r="B61" s="55">
        <f t="shared" si="7"/>
        <v>1.5451681544888808E-2</v>
      </c>
      <c r="C61" s="55">
        <f t="shared" si="7"/>
        <v>64.700237371264251</v>
      </c>
      <c r="D61" s="55">
        <f t="shared" si="7"/>
        <v>0.91473940491849537</v>
      </c>
      <c r="E61" s="55">
        <f t="shared" si="7"/>
        <v>1.0424605867856402</v>
      </c>
      <c r="F61" s="55">
        <f t="shared" si="7"/>
        <v>1.0177728149871439</v>
      </c>
      <c r="G61" s="58">
        <f>H61*I61</f>
        <v>20</v>
      </c>
      <c r="H61" s="63">
        <v>4</v>
      </c>
      <c r="I61" s="63">
        <v>5</v>
      </c>
      <c r="J61" s="58" t="str">
        <f>B3</f>
        <v>PSL445-0405C4</v>
      </c>
      <c r="K61" s="93">
        <f>Tsスペック算出!J8</f>
        <v>11.488122604501358</v>
      </c>
      <c r="L61" s="78">
        <f>L44/$K44</f>
        <v>685.84433485810314</v>
      </c>
      <c r="M61" s="78">
        <f t="shared" si="8"/>
        <v>674.9579168444825</v>
      </c>
      <c r="N61" s="136">
        <f t="shared" si="8"/>
        <v>0</v>
      </c>
      <c r="O61" s="136">
        <f t="shared" si="8"/>
        <v>0</v>
      </c>
      <c r="P61" s="78">
        <f t="shared" si="8"/>
        <v>636.85545379681002</v>
      </c>
      <c r="Q61" s="78">
        <f t="shared" si="8"/>
        <v>625.96903578318938</v>
      </c>
      <c r="R61" s="78">
        <f t="shared" si="8"/>
        <v>620.52582677637906</v>
      </c>
      <c r="S61" s="78">
        <f t="shared" si="8"/>
        <v>615.08261776956874</v>
      </c>
      <c r="T61" s="78">
        <f t="shared" si="8"/>
        <v>593.30978174232735</v>
      </c>
      <c r="U61" s="78">
        <f t="shared" si="8"/>
        <v>582.42336372870659</v>
      </c>
      <c r="V61" s="78">
        <f t="shared" si="8"/>
        <v>555.20731869465487</v>
      </c>
      <c r="W61" s="78">
        <f t="shared" si="8"/>
        <v>544.32090068103423</v>
      </c>
      <c r="X61" s="78">
        <f t="shared" si="8"/>
        <v>538.87769167422391</v>
      </c>
      <c r="Y61" s="78">
        <f t="shared" si="8"/>
        <v>506.21843763336182</v>
      </c>
      <c r="Z61" s="78">
        <f t="shared" si="8"/>
        <v>495.33201961974117</v>
      </c>
      <c r="AA61" s="78">
        <f t="shared" si="8"/>
        <v>468.11597458568946</v>
      </c>
      <c r="AB61" s="136"/>
      <c r="AC61" s="136"/>
      <c r="AD61" s="136"/>
      <c r="AE61" s="136"/>
      <c r="AF61" s="136"/>
    </row>
    <row r="62" spans="1:32" ht="16.5" hidden="1" x14ac:dyDescent="0.15">
      <c r="A62" s="89" t="s">
        <v>56</v>
      </c>
      <c r="B62" s="55">
        <f>C55</f>
        <v>-4.415485981336488E-3</v>
      </c>
      <c r="C62" s="55">
        <f>D55</f>
        <v>0.29983765623438341</v>
      </c>
      <c r="D62" s="58"/>
      <c r="E62" s="55"/>
      <c r="F62" s="58"/>
      <c r="G62" s="58">
        <f t="shared" ref="G62:G73" si="9">H62*I62</f>
        <v>0</v>
      </c>
      <c r="H62" s="63"/>
      <c r="I62" s="63"/>
      <c r="J62" s="58" t="e">
        <f>#REF!</f>
        <v>#REF!</v>
      </c>
      <c r="K62" s="93" t="e">
        <f>Tsスペック算出!#REF!</f>
        <v>#REF!</v>
      </c>
      <c r="L62" s="77"/>
      <c r="M62" s="77"/>
      <c r="N62" s="136"/>
      <c r="O62" s="136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136"/>
      <c r="AC62" s="136"/>
      <c r="AD62" s="136"/>
      <c r="AE62" s="136"/>
      <c r="AF62" s="136"/>
    </row>
    <row r="63" spans="1:32" ht="16.5" hidden="1" x14ac:dyDescent="0.15">
      <c r="A63" s="58"/>
      <c r="B63" s="94"/>
      <c r="C63" s="94"/>
      <c r="D63" s="58"/>
      <c r="E63" s="58"/>
      <c r="G63" s="58">
        <f t="shared" si="9"/>
        <v>0</v>
      </c>
      <c r="H63" s="63"/>
      <c r="I63" s="63"/>
      <c r="J63" s="58" t="e">
        <f>#REF!</f>
        <v>#REF!</v>
      </c>
      <c r="K63" s="93" t="e">
        <f>Tsスペック算出!#REF!</f>
        <v>#REF!</v>
      </c>
      <c r="L63" s="77"/>
      <c r="M63" s="77"/>
      <c r="N63" s="136"/>
      <c r="O63" s="136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136"/>
      <c r="AC63" s="136"/>
      <c r="AD63" s="136"/>
      <c r="AE63" s="136"/>
      <c r="AF63" s="136"/>
    </row>
    <row r="64" spans="1:32" ht="16.5" hidden="1" x14ac:dyDescent="0.15">
      <c r="A64" s="58"/>
      <c r="B64" s="95"/>
      <c r="C64" s="96"/>
      <c r="D64" s="58" t="str">
        <f>CONCATENATE("lm(%,@",E68,"C)")</f>
        <v>lm(%,@25C)</v>
      </c>
      <c r="E64" s="97">
        <f>E59*$E$68^2+E60*$E$68+E61</f>
        <v>1</v>
      </c>
      <c r="F64" s="98"/>
      <c r="G64" s="58">
        <f t="shared" si="9"/>
        <v>0</v>
      </c>
      <c r="H64" s="63"/>
      <c r="I64" s="63"/>
      <c r="J64" s="58" t="e">
        <f>#REF!</f>
        <v>#REF!</v>
      </c>
      <c r="K64" s="93" t="e">
        <f>Tsスペック算出!#REF!</f>
        <v>#REF!</v>
      </c>
      <c r="L64" s="77"/>
      <c r="M64" s="77"/>
      <c r="N64" s="136"/>
      <c r="O64" s="136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136"/>
      <c r="AC64" s="136"/>
      <c r="AD64" s="136"/>
      <c r="AE64" s="136"/>
      <c r="AF64" s="136"/>
    </row>
    <row r="65" spans="1:32" ht="16.5" hidden="1" x14ac:dyDescent="0.15">
      <c r="A65" s="58"/>
      <c r="B65" s="58"/>
      <c r="C65" s="58"/>
      <c r="D65" s="58"/>
      <c r="E65" s="58"/>
      <c r="G65" s="58">
        <f t="shared" si="9"/>
        <v>0</v>
      </c>
      <c r="H65" s="63"/>
      <c r="I65" s="63"/>
      <c r="J65" s="58" t="e">
        <f>#REF!</f>
        <v>#REF!</v>
      </c>
      <c r="K65" s="93" t="e">
        <f>Tsスペック算出!#REF!</f>
        <v>#REF!</v>
      </c>
      <c r="L65" s="77"/>
      <c r="M65" s="77"/>
      <c r="N65" s="136"/>
      <c r="O65" s="136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136"/>
      <c r="AC65" s="136"/>
      <c r="AD65" s="136"/>
      <c r="AE65" s="136"/>
      <c r="AF65" s="136"/>
    </row>
    <row r="66" spans="1:32" ht="16.5" hidden="1" x14ac:dyDescent="0.15">
      <c r="A66" s="58"/>
      <c r="B66" s="58"/>
      <c r="C66" s="58"/>
      <c r="D66" s="58" t="s">
        <v>28</v>
      </c>
      <c r="E66" s="99">
        <f>Simulator!G6</f>
        <v>350</v>
      </c>
      <c r="G66" s="58">
        <f t="shared" si="9"/>
        <v>0</v>
      </c>
      <c r="H66" s="63"/>
      <c r="I66" s="63"/>
      <c r="J66" s="58" t="e">
        <f>#REF!</f>
        <v>#REF!</v>
      </c>
      <c r="K66" s="93" t="e">
        <f>Tsスペック算出!#REF!</f>
        <v>#REF!</v>
      </c>
      <c r="L66" s="77"/>
      <c r="M66" s="77"/>
      <c r="N66" s="136"/>
      <c r="O66" s="136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136"/>
      <c r="AC66" s="136"/>
      <c r="AD66" s="136"/>
      <c r="AE66" s="136"/>
      <c r="AF66" s="136"/>
    </row>
    <row r="67" spans="1:32" ht="16.5" hidden="1" x14ac:dyDescent="0.15">
      <c r="A67" s="58"/>
      <c r="B67" s="94"/>
      <c r="C67" s="94"/>
      <c r="D67" s="58"/>
      <c r="E67" s="58"/>
      <c r="G67" s="58">
        <f t="shared" si="9"/>
        <v>0</v>
      </c>
      <c r="H67" s="63"/>
      <c r="I67" s="63"/>
      <c r="J67" s="58" t="e">
        <f>#REF!</f>
        <v>#REF!</v>
      </c>
      <c r="K67" s="93" t="e">
        <f>Tsスペック算出!#REF!</f>
        <v>#REF!</v>
      </c>
      <c r="L67" s="77"/>
      <c r="M67" s="77"/>
      <c r="N67" s="136"/>
      <c r="O67" s="136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136"/>
      <c r="AC67" s="136"/>
      <c r="AD67" s="136"/>
      <c r="AE67" s="136"/>
      <c r="AF67" s="136"/>
    </row>
    <row r="68" spans="1:32" ht="16.5" hidden="1" x14ac:dyDescent="0.15">
      <c r="A68" s="58"/>
      <c r="B68" s="100"/>
      <c r="C68" s="76"/>
      <c r="D68" s="58" t="s">
        <v>138</v>
      </c>
      <c r="E68" s="101">
        <f>Simulator!L6</f>
        <v>25</v>
      </c>
      <c r="G68" s="58">
        <f t="shared" si="9"/>
        <v>0</v>
      </c>
      <c r="H68" s="63"/>
      <c r="I68" s="63"/>
      <c r="J68" s="58" t="e">
        <f>#REF!</f>
        <v>#REF!</v>
      </c>
      <c r="K68" s="93" t="e">
        <f>Tsスペック算出!#REF!</f>
        <v>#REF!</v>
      </c>
      <c r="L68" s="77"/>
      <c r="M68" s="77"/>
      <c r="N68" s="136"/>
      <c r="O68" s="136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136"/>
      <c r="AC68" s="136"/>
      <c r="AD68" s="136"/>
      <c r="AE68" s="136"/>
      <c r="AF68" s="136"/>
    </row>
    <row r="69" spans="1:32" ht="16.5" hidden="1" x14ac:dyDescent="0.15">
      <c r="A69" s="58"/>
      <c r="B69" s="100"/>
      <c r="C69" s="76"/>
      <c r="G69" s="58">
        <f t="shared" si="9"/>
        <v>0</v>
      </c>
      <c r="H69" s="63"/>
      <c r="I69" s="63"/>
      <c r="J69" s="58" t="e">
        <f>#REF!</f>
        <v>#REF!</v>
      </c>
      <c r="K69" s="93" t="e">
        <f>Tsスペック算出!#REF!</f>
        <v>#REF!</v>
      </c>
      <c r="L69" s="77"/>
      <c r="M69" s="77"/>
      <c r="N69" s="136"/>
      <c r="O69" s="136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136"/>
      <c r="AC69" s="136"/>
      <c r="AD69" s="136"/>
      <c r="AE69" s="136"/>
      <c r="AF69" s="136"/>
    </row>
    <row r="70" spans="1:32" ht="16.5" hidden="1" x14ac:dyDescent="0.15">
      <c r="A70" s="58"/>
      <c r="B70" s="58"/>
      <c r="C70" s="58"/>
      <c r="D70" s="102" t="s">
        <v>139</v>
      </c>
      <c r="E70" s="101">
        <f>E66/E64</f>
        <v>350</v>
      </c>
      <c r="G70" s="58">
        <f t="shared" si="9"/>
        <v>0</v>
      </c>
      <c r="H70" s="63"/>
      <c r="I70" s="63"/>
      <c r="J70" s="58" t="e">
        <f>#REF!</f>
        <v>#REF!</v>
      </c>
      <c r="K70" s="93" t="e">
        <f>Tsスペック算出!#REF!</f>
        <v>#REF!</v>
      </c>
      <c r="L70" s="77"/>
      <c r="M70" s="77"/>
      <c r="N70" s="136"/>
      <c r="O70" s="136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136"/>
      <c r="AC70" s="136"/>
      <c r="AD70" s="136"/>
      <c r="AE70" s="136"/>
      <c r="AF70" s="136"/>
    </row>
    <row r="71" spans="1:32" ht="16.5" hidden="1" x14ac:dyDescent="0.15">
      <c r="A71" s="58"/>
      <c r="B71" s="58"/>
      <c r="C71" s="103"/>
      <c r="G71" s="58">
        <f t="shared" si="9"/>
        <v>0</v>
      </c>
      <c r="H71" s="63"/>
      <c r="I71" s="63"/>
      <c r="J71" s="58" t="e">
        <f>#REF!</f>
        <v>#REF!</v>
      </c>
      <c r="K71" s="93" t="e">
        <f>Tsスペック算出!#REF!</f>
        <v>#REF!</v>
      </c>
      <c r="L71" s="77"/>
      <c r="M71" s="77"/>
      <c r="N71" s="136"/>
      <c r="O71" s="136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136"/>
      <c r="AC71" s="136"/>
      <c r="AD71" s="136"/>
      <c r="AE71" s="136"/>
      <c r="AF71" s="136"/>
    </row>
    <row r="72" spans="1:32" ht="16.5" hidden="1" x14ac:dyDescent="0.15">
      <c r="A72" s="58"/>
      <c r="B72" s="58"/>
      <c r="C72" s="59"/>
      <c r="G72" s="58">
        <f t="shared" si="9"/>
        <v>0</v>
      </c>
      <c r="H72" s="63"/>
      <c r="I72" s="63"/>
      <c r="J72" s="58" t="e">
        <f>#REF!</f>
        <v>#REF!</v>
      </c>
      <c r="K72" s="93" t="e">
        <f>Tsスペック算出!#REF!</f>
        <v>#REF!</v>
      </c>
      <c r="L72" s="77"/>
      <c r="M72" s="77"/>
      <c r="N72" s="136"/>
      <c r="O72" s="136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136"/>
      <c r="AC72" s="136"/>
      <c r="AD72" s="136"/>
      <c r="AE72" s="136"/>
      <c r="AF72" s="136"/>
    </row>
    <row r="73" spans="1:32" ht="16.5" hidden="1" x14ac:dyDescent="0.15">
      <c r="A73" s="58"/>
      <c r="B73" s="58"/>
      <c r="C73" s="59"/>
      <c r="G73" s="58">
        <f t="shared" si="9"/>
        <v>0</v>
      </c>
      <c r="H73" s="63"/>
      <c r="I73" s="63"/>
      <c r="J73" s="58" t="e">
        <f>#REF!</f>
        <v>#REF!</v>
      </c>
      <c r="K73" s="93" t="e">
        <f>Tsスペック算出!#REF!</f>
        <v>#REF!</v>
      </c>
      <c r="L73" s="77"/>
      <c r="M73" s="77"/>
      <c r="N73" s="136"/>
      <c r="O73" s="136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136"/>
      <c r="AC73" s="136"/>
      <c r="AD73" s="136"/>
      <c r="AE73" s="136"/>
      <c r="AF73" s="136"/>
    </row>
    <row r="74" spans="1:32" ht="16.5" hidden="1" x14ac:dyDescent="0.15"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</row>
    <row r="75" spans="1:32" ht="16.5" hidden="1" x14ac:dyDescent="0.15">
      <c r="G75" s="58"/>
      <c r="H75" s="58"/>
      <c r="I75" s="58"/>
      <c r="J75" s="58"/>
      <c r="K75" s="58"/>
      <c r="L75" s="58"/>
      <c r="M75" s="58"/>
      <c r="N75" s="58"/>
      <c r="O75" s="58"/>
      <c r="P75" s="95">
        <v>0.92</v>
      </c>
      <c r="Q75" s="95">
        <v>1.08</v>
      </c>
      <c r="R75" s="58"/>
      <c r="S75" s="58"/>
      <c r="T75" s="58"/>
      <c r="U75" s="58"/>
      <c r="V75" s="58"/>
      <c r="W75" s="58"/>
    </row>
    <row r="76" spans="1:32" ht="16.5" hidden="1" x14ac:dyDescent="0.15">
      <c r="A76" s="58"/>
      <c r="B76" s="95"/>
      <c r="C76" s="103"/>
      <c r="G76" s="58"/>
      <c r="H76" s="58" t="s">
        <v>48</v>
      </c>
      <c r="I76" s="58"/>
      <c r="J76" s="58"/>
      <c r="K76" s="89" t="str">
        <f>HLOOKUP(Simulator!$C$6,Calculation_445!L$58:AF$73,2,FALSE)</f>
        <v>5000K,70Min</v>
      </c>
      <c r="L76" s="89" t="s">
        <v>49</v>
      </c>
      <c r="M76" s="89" t="s">
        <v>50</v>
      </c>
      <c r="N76" s="104" t="s">
        <v>51</v>
      </c>
      <c r="O76" s="89" t="s">
        <v>66</v>
      </c>
      <c r="P76" s="105" t="s">
        <v>63</v>
      </c>
      <c r="Q76" s="105" t="s">
        <v>65</v>
      </c>
      <c r="R76" s="106" t="s">
        <v>140</v>
      </c>
      <c r="S76" s="104" t="s">
        <v>33</v>
      </c>
      <c r="T76" s="104"/>
      <c r="U76" s="104" t="s">
        <v>27</v>
      </c>
      <c r="V76" s="89" t="s">
        <v>141</v>
      </c>
      <c r="W76" s="89" t="s">
        <v>142</v>
      </c>
      <c r="X76" s="104" t="s">
        <v>52</v>
      </c>
      <c r="Y76" s="58"/>
    </row>
    <row r="77" spans="1:32" ht="16.5" hidden="1" x14ac:dyDescent="0.15">
      <c r="A77" s="58"/>
      <c r="B77" s="95"/>
      <c r="C77" s="103"/>
      <c r="G77" s="58"/>
      <c r="H77" s="100" t="e">
        <f t="shared" ref="H77:H90" si="10">K77/G60</f>
        <v>#DIV/0!</v>
      </c>
      <c r="I77" s="58"/>
      <c r="J77" s="58" t="str">
        <f t="shared" ref="J77:J90" si="11">J60</f>
        <v>PSL440-0404C4</v>
      </c>
      <c r="K77" s="107" t="e">
        <f>HLOOKUP(Simulator!$C$6,Calculation_445!L$58:AF$73,3,FALSE)</f>
        <v>#DIV/0!</v>
      </c>
      <c r="L77" s="76" t="e">
        <f t="shared" ref="L77:L90" si="12">E$70/K77</f>
        <v>#DIV/0!</v>
      </c>
      <c r="M77" s="100" t="e">
        <f>C$59*$L77^3+C$60*$L77^2+C$61*$L77+C$62</f>
        <v>#DIV/0!</v>
      </c>
      <c r="N77" s="108" t="e">
        <f>M77*I60</f>
        <v>#DIV/0!</v>
      </c>
      <c r="O77" s="109" t="e">
        <f t="shared" ref="O77:O90" si="13">(D$59*$M77^2+D$60*$M77+D$61)*K60</f>
        <v>#DIV/0!</v>
      </c>
      <c r="P77" s="110" t="e">
        <f>O77*$P$75</f>
        <v>#DIV/0!</v>
      </c>
      <c r="Q77" s="110" t="e">
        <f>O77*$Q$75</f>
        <v>#DIV/0!</v>
      </c>
      <c r="R77" s="111" t="e">
        <f xml:space="preserve"> (F$59*$E$68^2+F$60*$E$68+F$61)*O77</f>
        <v>#DIV/0!</v>
      </c>
      <c r="S77" s="112" t="e">
        <f>N77*R77/1000</f>
        <v>#DIV/0!</v>
      </c>
      <c r="T77" s="112"/>
      <c r="U77" s="112" t="e">
        <f>E$66/S77</f>
        <v>#DIV/0!</v>
      </c>
      <c r="V77" s="132">
        <v>3.5</v>
      </c>
      <c r="W77" s="100" t="e">
        <f>S77*V77</f>
        <v>#DIV/0!</v>
      </c>
      <c r="X77" s="112" t="b">
        <f t="shared" ref="X77:X90" si="14">IFERROR(E$68+W77,FALSE)</f>
        <v>0</v>
      </c>
      <c r="Y77" s="58"/>
    </row>
    <row r="78" spans="1:32" ht="16.5" hidden="1" x14ac:dyDescent="0.15">
      <c r="A78" s="84"/>
      <c r="B78" s="84"/>
      <c r="C78" s="84"/>
      <c r="D78" s="89"/>
      <c r="E78" s="89"/>
      <c r="F78" s="89"/>
      <c r="H78" s="100">
        <f t="shared" si="10"/>
        <v>34.292216742905154</v>
      </c>
      <c r="I78" s="58"/>
      <c r="J78" s="58" t="str">
        <f t="shared" si="11"/>
        <v>PSL445-0405C4</v>
      </c>
      <c r="K78" s="107">
        <f>HLOOKUP(Simulator!$C$6,Calculation_445!L$58:AF$73,4,FALSE)</f>
        <v>685.84433485810314</v>
      </c>
      <c r="L78" s="76">
        <f t="shared" si="12"/>
        <v>0.51031988194874101</v>
      </c>
      <c r="M78" s="100">
        <f>C$59*$L78^3+C$60*$L78^2+C$61*$L78+C$62</f>
        <v>34.557738977227835</v>
      </c>
      <c r="N78" s="108">
        <f t="shared" ref="N78:N90" si="15">M78*I61</f>
        <v>172.78869488613918</v>
      </c>
      <c r="O78" s="109">
        <f t="shared" si="13"/>
        <v>11.01257911537904</v>
      </c>
      <c r="P78" s="110">
        <f t="shared" ref="P78:P90" si="16">O78*$P$75</f>
        <v>10.131572786148718</v>
      </c>
      <c r="Q78" s="110">
        <f t="shared" ref="Q78:Q90" si="17">O78*$Q$75</f>
        <v>11.893585444609364</v>
      </c>
      <c r="R78" s="111">
        <f t="shared" ref="R78:R90" si="18" xml:space="preserve"> (F$59*$E$68^2+F$60*$E$68+F$61)*O78</f>
        <v>11.01257911537904</v>
      </c>
      <c r="S78" s="112">
        <f t="shared" ref="S78:S90" si="19">N78*R78/1000</f>
        <v>1.9028491726766974</v>
      </c>
      <c r="T78" s="112"/>
      <c r="U78" s="112">
        <f t="shared" ref="U78:U90" si="20">E$66/S78</f>
        <v>183.9347043505621</v>
      </c>
      <c r="V78" s="132">
        <v>2.8</v>
      </c>
      <c r="W78" s="100">
        <f>S78*V78</f>
        <v>5.3279776834947521</v>
      </c>
      <c r="X78" s="112">
        <f t="shared" si="14"/>
        <v>30.327977683494751</v>
      </c>
      <c r="Y78" s="58"/>
    </row>
    <row r="79" spans="1:32" ht="16.5" hidden="1" x14ac:dyDescent="0.15">
      <c r="A79" s="89"/>
      <c r="B79" s="113"/>
      <c r="C79" s="113"/>
      <c r="D79" s="113"/>
      <c r="E79" s="113"/>
      <c r="F79" s="113"/>
      <c r="H79" s="100" t="e">
        <f t="shared" si="10"/>
        <v>#DIV/0!</v>
      </c>
      <c r="I79" s="58"/>
      <c r="J79" s="58" t="e">
        <f t="shared" si="11"/>
        <v>#REF!</v>
      </c>
      <c r="K79" s="107">
        <f>HLOOKUP(Simulator!$C$6,Calculation_445!L$58:AF$73,5,FALSE)</f>
        <v>0</v>
      </c>
      <c r="L79" s="76" t="e">
        <f t="shared" si="12"/>
        <v>#DIV/0!</v>
      </c>
      <c r="M79" s="100" t="e">
        <f t="shared" ref="M79:M90" si="21">C$59*$L79^3+C$60*$L79^2+C$61*$L79+C$62</f>
        <v>#DIV/0!</v>
      </c>
      <c r="N79" s="108" t="e">
        <f t="shared" si="15"/>
        <v>#DIV/0!</v>
      </c>
      <c r="O79" s="109" t="e">
        <f t="shared" si="13"/>
        <v>#DIV/0!</v>
      </c>
      <c r="P79" s="110" t="e">
        <f t="shared" si="16"/>
        <v>#DIV/0!</v>
      </c>
      <c r="Q79" s="110" t="e">
        <f t="shared" si="17"/>
        <v>#DIV/0!</v>
      </c>
      <c r="R79" s="111" t="e">
        <f t="shared" si="18"/>
        <v>#DIV/0!</v>
      </c>
      <c r="S79" s="112" t="e">
        <f t="shared" si="19"/>
        <v>#DIV/0!</v>
      </c>
      <c r="T79" s="112"/>
      <c r="U79" s="112" t="e">
        <f t="shared" si="20"/>
        <v>#DIV/0!</v>
      </c>
      <c r="V79" s="132"/>
      <c r="W79" s="100" t="e">
        <f t="shared" ref="W79:W88" si="22">S79*V79</f>
        <v>#DIV/0!</v>
      </c>
      <c r="X79" s="112" t="b">
        <f t="shared" si="14"/>
        <v>0</v>
      </c>
      <c r="Y79" s="58"/>
    </row>
    <row r="80" spans="1:32" ht="16.5" hidden="1" x14ac:dyDescent="0.15">
      <c r="A80" s="89"/>
      <c r="B80" s="113"/>
      <c r="C80" s="113"/>
      <c r="D80" s="113"/>
      <c r="E80" s="113"/>
      <c r="F80" s="113"/>
      <c r="H80" s="100" t="e">
        <f t="shared" si="10"/>
        <v>#DIV/0!</v>
      </c>
      <c r="I80" s="58"/>
      <c r="J80" s="58" t="e">
        <f t="shared" si="11"/>
        <v>#REF!</v>
      </c>
      <c r="K80" s="107">
        <f>HLOOKUP(Simulator!$C$6,Calculation_445!L$58:AF$73,6,FALSE)</f>
        <v>0</v>
      </c>
      <c r="L80" s="76" t="e">
        <f t="shared" si="12"/>
        <v>#DIV/0!</v>
      </c>
      <c r="M80" s="100" t="e">
        <f t="shared" si="21"/>
        <v>#DIV/0!</v>
      </c>
      <c r="N80" s="108" t="e">
        <f t="shared" si="15"/>
        <v>#DIV/0!</v>
      </c>
      <c r="O80" s="109" t="e">
        <f t="shared" si="13"/>
        <v>#DIV/0!</v>
      </c>
      <c r="P80" s="110" t="e">
        <f t="shared" si="16"/>
        <v>#DIV/0!</v>
      </c>
      <c r="Q80" s="110" t="e">
        <f t="shared" si="17"/>
        <v>#DIV/0!</v>
      </c>
      <c r="R80" s="111" t="e">
        <f t="shared" si="18"/>
        <v>#DIV/0!</v>
      </c>
      <c r="S80" s="112" t="e">
        <f t="shared" si="19"/>
        <v>#DIV/0!</v>
      </c>
      <c r="T80" s="112"/>
      <c r="U80" s="112" t="e">
        <f t="shared" si="20"/>
        <v>#DIV/0!</v>
      </c>
      <c r="V80" s="63"/>
      <c r="W80" s="100" t="e">
        <f t="shared" si="22"/>
        <v>#DIV/0!</v>
      </c>
      <c r="X80" s="112" t="b">
        <f t="shared" si="14"/>
        <v>0</v>
      </c>
      <c r="Y80" s="58"/>
    </row>
    <row r="81" spans="1:25" ht="16.5" hidden="1" x14ac:dyDescent="0.15">
      <c r="A81" s="89"/>
      <c r="B81" s="113"/>
      <c r="C81" s="113"/>
      <c r="D81" s="113"/>
      <c r="E81" s="113"/>
      <c r="F81" s="113"/>
      <c r="H81" s="100" t="e">
        <f t="shared" si="10"/>
        <v>#DIV/0!</v>
      </c>
      <c r="I81" s="58"/>
      <c r="J81" s="58" t="e">
        <f t="shared" si="11"/>
        <v>#REF!</v>
      </c>
      <c r="K81" s="107">
        <f>HLOOKUP(Simulator!$C$6,Calculation_445!L$58:AF$73,7,FALSE)</f>
        <v>0</v>
      </c>
      <c r="L81" s="76" t="e">
        <f t="shared" si="12"/>
        <v>#DIV/0!</v>
      </c>
      <c r="M81" s="100" t="e">
        <f t="shared" si="21"/>
        <v>#DIV/0!</v>
      </c>
      <c r="N81" s="108" t="e">
        <f t="shared" si="15"/>
        <v>#DIV/0!</v>
      </c>
      <c r="O81" s="109" t="e">
        <f t="shared" si="13"/>
        <v>#DIV/0!</v>
      </c>
      <c r="P81" s="110" t="e">
        <f t="shared" si="16"/>
        <v>#DIV/0!</v>
      </c>
      <c r="Q81" s="110" t="e">
        <f t="shared" si="17"/>
        <v>#DIV/0!</v>
      </c>
      <c r="R81" s="111" t="e">
        <f t="shared" si="18"/>
        <v>#DIV/0!</v>
      </c>
      <c r="S81" s="112" t="e">
        <f t="shared" si="19"/>
        <v>#DIV/0!</v>
      </c>
      <c r="T81" s="112"/>
      <c r="U81" s="112" t="e">
        <f t="shared" si="20"/>
        <v>#DIV/0!</v>
      </c>
      <c r="V81" s="63"/>
      <c r="W81" s="100" t="e">
        <f t="shared" si="22"/>
        <v>#DIV/0!</v>
      </c>
      <c r="X81" s="112" t="b">
        <f t="shared" si="14"/>
        <v>0</v>
      </c>
      <c r="Y81" s="58"/>
    </row>
    <row r="82" spans="1:25" ht="16.5" hidden="1" x14ac:dyDescent="0.15">
      <c r="A82" s="89"/>
      <c r="B82" s="113"/>
      <c r="C82" s="113"/>
      <c r="D82" s="58"/>
      <c r="E82" s="58"/>
      <c r="H82" s="100" t="e">
        <f t="shared" si="10"/>
        <v>#DIV/0!</v>
      </c>
      <c r="I82" s="58"/>
      <c r="J82" s="58" t="e">
        <f t="shared" si="11"/>
        <v>#REF!</v>
      </c>
      <c r="K82" s="107">
        <f>HLOOKUP(Simulator!$C$6,Calculation_445!L$58:AF$73,8,FALSE)</f>
        <v>0</v>
      </c>
      <c r="L82" s="76" t="e">
        <f t="shared" si="12"/>
        <v>#DIV/0!</v>
      </c>
      <c r="M82" s="100" t="e">
        <f t="shared" si="21"/>
        <v>#DIV/0!</v>
      </c>
      <c r="N82" s="108" t="e">
        <f t="shared" si="15"/>
        <v>#DIV/0!</v>
      </c>
      <c r="O82" s="109" t="e">
        <f t="shared" si="13"/>
        <v>#DIV/0!</v>
      </c>
      <c r="P82" s="110" t="e">
        <f t="shared" si="16"/>
        <v>#DIV/0!</v>
      </c>
      <c r="Q82" s="110" t="e">
        <f t="shared" si="17"/>
        <v>#DIV/0!</v>
      </c>
      <c r="R82" s="111" t="e">
        <f t="shared" si="18"/>
        <v>#DIV/0!</v>
      </c>
      <c r="S82" s="112" t="e">
        <f t="shared" si="19"/>
        <v>#DIV/0!</v>
      </c>
      <c r="T82" s="112"/>
      <c r="U82" s="112" t="e">
        <f t="shared" si="20"/>
        <v>#DIV/0!</v>
      </c>
      <c r="V82" s="63"/>
      <c r="W82" s="100" t="e">
        <f t="shared" si="22"/>
        <v>#DIV/0!</v>
      </c>
      <c r="X82" s="112" t="b">
        <f t="shared" si="14"/>
        <v>0</v>
      </c>
      <c r="Y82" s="58"/>
    </row>
    <row r="83" spans="1:25" ht="16.5" hidden="1" x14ac:dyDescent="0.15">
      <c r="A83" s="58"/>
      <c r="B83" s="114"/>
      <c r="C83" s="114"/>
      <c r="D83" s="58"/>
      <c r="E83" s="58"/>
      <c r="H83" s="100" t="e">
        <f t="shared" si="10"/>
        <v>#DIV/0!</v>
      </c>
      <c r="I83" s="58"/>
      <c r="J83" s="58" t="e">
        <f t="shared" si="11"/>
        <v>#REF!</v>
      </c>
      <c r="K83" s="107">
        <f>HLOOKUP(Simulator!$C$6,Calculation_445!L$58:AF$73,9,FALSE)</f>
        <v>0</v>
      </c>
      <c r="L83" s="76" t="e">
        <f t="shared" si="12"/>
        <v>#DIV/0!</v>
      </c>
      <c r="M83" s="100" t="e">
        <f t="shared" si="21"/>
        <v>#DIV/0!</v>
      </c>
      <c r="N83" s="108" t="e">
        <f t="shared" si="15"/>
        <v>#DIV/0!</v>
      </c>
      <c r="O83" s="109" t="e">
        <f t="shared" si="13"/>
        <v>#DIV/0!</v>
      </c>
      <c r="P83" s="110" t="e">
        <f t="shared" si="16"/>
        <v>#DIV/0!</v>
      </c>
      <c r="Q83" s="110" t="e">
        <f t="shared" si="17"/>
        <v>#DIV/0!</v>
      </c>
      <c r="R83" s="111" t="e">
        <f t="shared" si="18"/>
        <v>#DIV/0!</v>
      </c>
      <c r="S83" s="112" t="e">
        <f t="shared" si="19"/>
        <v>#DIV/0!</v>
      </c>
      <c r="T83" s="112"/>
      <c r="U83" s="112" t="e">
        <f t="shared" si="20"/>
        <v>#DIV/0!</v>
      </c>
      <c r="V83" s="63"/>
      <c r="W83" s="100" t="e">
        <f t="shared" si="22"/>
        <v>#DIV/0!</v>
      </c>
      <c r="X83" s="112" t="b">
        <f t="shared" si="14"/>
        <v>0</v>
      </c>
      <c r="Y83" s="58"/>
    </row>
    <row r="84" spans="1:25" ht="16.5" hidden="1" x14ac:dyDescent="0.15">
      <c r="A84" s="58"/>
      <c r="B84" s="115"/>
      <c r="C84" s="116"/>
      <c r="D84" s="58"/>
      <c r="E84" s="117"/>
      <c r="H84" s="100" t="e">
        <f t="shared" si="10"/>
        <v>#DIV/0!</v>
      </c>
      <c r="I84" s="58"/>
      <c r="J84" s="58" t="e">
        <f t="shared" si="11"/>
        <v>#REF!</v>
      </c>
      <c r="K84" s="107">
        <f>HLOOKUP(Simulator!$C$6,Calculation_445!L$58:AF$73,10,FALSE)</f>
        <v>0</v>
      </c>
      <c r="L84" s="76" t="e">
        <f t="shared" si="12"/>
        <v>#DIV/0!</v>
      </c>
      <c r="M84" s="100" t="e">
        <f t="shared" si="21"/>
        <v>#DIV/0!</v>
      </c>
      <c r="N84" s="108" t="e">
        <f t="shared" si="15"/>
        <v>#DIV/0!</v>
      </c>
      <c r="O84" s="109" t="e">
        <f t="shared" si="13"/>
        <v>#DIV/0!</v>
      </c>
      <c r="P84" s="110" t="e">
        <f t="shared" si="16"/>
        <v>#DIV/0!</v>
      </c>
      <c r="Q84" s="110" t="e">
        <f t="shared" si="17"/>
        <v>#DIV/0!</v>
      </c>
      <c r="R84" s="111" t="e">
        <f t="shared" si="18"/>
        <v>#DIV/0!</v>
      </c>
      <c r="S84" s="112" t="e">
        <f t="shared" si="19"/>
        <v>#DIV/0!</v>
      </c>
      <c r="T84" s="112"/>
      <c r="U84" s="112" t="e">
        <f t="shared" si="20"/>
        <v>#DIV/0!</v>
      </c>
      <c r="V84" s="93"/>
      <c r="W84" s="100" t="e">
        <f t="shared" si="22"/>
        <v>#DIV/0!</v>
      </c>
      <c r="X84" s="112" t="b">
        <f t="shared" si="14"/>
        <v>0</v>
      </c>
      <c r="Y84" s="58"/>
    </row>
    <row r="85" spans="1:25" ht="16.5" hidden="1" x14ac:dyDescent="0.15">
      <c r="A85" s="58"/>
      <c r="B85" s="58"/>
      <c r="C85" s="58"/>
      <c r="D85" s="58"/>
      <c r="E85" s="58"/>
      <c r="H85" s="100" t="e">
        <f t="shared" si="10"/>
        <v>#DIV/0!</v>
      </c>
      <c r="I85" s="58"/>
      <c r="J85" s="58" t="e">
        <f t="shared" si="11"/>
        <v>#REF!</v>
      </c>
      <c r="K85" s="118">
        <f>HLOOKUP(Simulator!$C$6,Calculation_445!L$58:AF$73,11,FALSE)</f>
        <v>0</v>
      </c>
      <c r="L85" s="76" t="e">
        <f>E$70/K85</f>
        <v>#DIV/0!</v>
      </c>
      <c r="M85" s="100" t="e">
        <f>C$59*$L85^3+C$60*$L85^2+C$61*$L85+C$62</f>
        <v>#DIV/0!</v>
      </c>
      <c r="N85" s="108" t="e">
        <f>M85*I68</f>
        <v>#DIV/0!</v>
      </c>
      <c r="O85" s="109" t="e">
        <f>(D$59*$M85^2+D$60*$M85+D$61)*K68</f>
        <v>#DIV/0!</v>
      </c>
      <c r="P85" s="110" t="e">
        <f t="shared" si="16"/>
        <v>#DIV/0!</v>
      </c>
      <c r="Q85" s="110" t="e">
        <f t="shared" si="17"/>
        <v>#DIV/0!</v>
      </c>
      <c r="R85" s="111" t="e">
        <f xml:space="preserve"> (F$59*$E$68^2+F$60*$E$68+F$61)*O85</f>
        <v>#DIV/0!</v>
      </c>
      <c r="S85" s="119" t="e">
        <f>N85*R85/1000</f>
        <v>#DIV/0!</v>
      </c>
      <c r="T85" s="112"/>
      <c r="U85" s="112" t="e">
        <f t="shared" si="20"/>
        <v>#DIV/0!</v>
      </c>
      <c r="V85" s="63"/>
      <c r="W85" s="100" t="e">
        <f t="shared" si="22"/>
        <v>#DIV/0!</v>
      </c>
      <c r="X85" s="112" t="b">
        <f t="shared" si="14"/>
        <v>0</v>
      </c>
      <c r="Y85" s="58"/>
    </row>
    <row r="86" spans="1:25" ht="16.5" hidden="1" x14ac:dyDescent="0.15">
      <c r="A86" s="58"/>
      <c r="B86" s="58"/>
      <c r="C86" s="58"/>
      <c r="D86" s="58"/>
      <c r="E86" s="58"/>
      <c r="H86" s="100" t="e">
        <f t="shared" si="10"/>
        <v>#DIV/0!</v>
      </c>
      <c r="I86" s="58"/>
      <c r="J86" s="58" t="e">
        <f t="shared" si="11"/>
        <v>#REF!</v>
      </c>
      <c r="K86" s="107">
        <f>HLOOKUP(Simulator!$C$6,Calculation_445!L$58:AF$73,12,FALSE)</f>
        <v>0</v>
      </c>
      <c r="L86" s="76" t="e">
        <f t="shared" si="12"/>
        <v>#DIV/0!</v>
      </c>
      <c r="M86" s="100" t="e">
        <f t="shared" si="21"/>
        <v>#DIV/0!</v>
      </c>
      <c r="N86" s="108" t="e">
        <f t="shared" si="15"/>
        <v>#DIV/0!</v>
      </c>
      <c r="O86" s="109" t="e">
        <f t="shared" si="13"/>
        <v>#DIV/0!</v>
      </c>
      <c r="P86" s="110" t="e">
        <f t="shared" si="16"/>
        <v>#DIV/0!</v>
      </c>
      <c r="Q86" s="110" t="e">
        <f t="shared" si="17"/>
        <v>#DIV/0!</v>
      </c>
      <c r="R86" s="111" t="e">
        <f t="shared" si="18"/>
        <v>#DIV/0!</v>
      </c>
      <c r="S86" s="112" t="e">
        <f t="shared" si="19"/>
        <v>#DIV/0!</v>
      </c>
      <c r="T86" s="112"/>
      <c r="U86" s="112" t="e">
        <f t="shared" si="20"/>
        <v>#DIV/0!</v>
      </c>
      <c r="V86" s="63"/>
      <c r="W86" s="100" t="e">
        <f t="shared" si="22"/>
        <v>#DIV/0!</v>
      </c>
      <c r="X86" s="112" t="b">
        <f t="shared" si="14"/>
        <v>0</v>
      </c>
      <c r="Y86" s="58"/>
    </row>
    <row r="87" spans="1:25" ht="16.5" hidden="1" x14ac:dyDescent="0.15">
      <c r="A87" s="58"/>
      <c r="B87" s="58"/>
      <c r="C87" s="58"/>
      <c r="D87" s="58"/>
      <c r="E87" s="99"/>
      <c r="H87" s="100" t="e">
        <f t="shared" si="10"/>
        <v>#DIV/0!</v>
      </c>
      <c r="I87" s="58"/>
      <c r="J87" s="58" t="e">
        <f t="shared" si="11"/>
        <v>#REF!</v>
      </c>
      <c r="K87" s="107">
        <f>HLOOKUP(Simulator!$C$6,Calculation_445!L$58:AF$73,13,FALSE)</f>
        <v>0</v>
      </c>
      <c r="L87" s="76" t="e">
        <f t="shared" si="12"/>
        <v>#DIV/0!</v>
      </c>
      <c r="M87" s="100" t="e">
        <f t="shared" si="21"/>
        <v>#DIV/0!</v>
      </c>
      <c r="N87" s="108" t="e">
        <f t="shared" si="15"/>
        <v>#DIV/0!</v>
      </c>
      <c r="O87" s="109" t="e">
        <f t="shared" si="13"/>
        <v>#DIV/0!</v>
      </c>
      <c r="P87" s="110" t="e">
        <f t="shared" si="16"/>
        <v>#DIV/0!</v>
      </c>
      <c r="Q87" s="110" t="e">
        <f t="shared" si="17"/>
        <v>#DIV/0!</v>
      </c>
      <c r="R87" s="111" t="e">
        <f t="shared" si="18"/>
        <v>#DIV/0!</v>
      </c>
      <c r="S87" s="112" t="e">
        <f t="shared" si="19"/>
        <v>#DIV/0!</v>
      </c>
      <c r="T87" s="112"/>
      <c r="U87" s="112" t="e">
        <f t="shared" si="20"/>
        <v>#DIV/0!</v>
      </c>
      <c r="V87" s="63"/>
      <c r="W87" s="100" t="e">
        <f t="shared" si="22"/>
        <v>#DIV/0!</v>
      </c>
      <c r="X87" s="112" t="b">
        <f t="shared" si="14"/>
        <v>0</v>
      </c>
      <c r="Y87" s="58"/>
    </row>
    <row r="88" spans="1:25" ht="16.5" hidden="1" x14ac:dyDescent="0.15">
      <c r="A88" s="58"/>
      <c r="B88" s="94"/>
      <c r="C88" s="94"/>
      <c r="D88" s="58"/>
      <c r="E88" s="58"/>
      <c r="H88" s="100" t="e">
        <f t="shared" si="10"/>
        <v>#DIV/0!</v>
      </c>
      <c r="I88" s="58"/>
      <c r="J88" s="58" t="e">
        <f t="shared" si="11"/>
        <v>#REF!</v>
      </c>
      <c r="K88" s="107">
        <f>HLOOKUP(Simulator!$C$6,Calculation_445!L$58:AF$73,14,FALSE)</f>
        <v>0</v>
      </c>
      <c r="L88" s="76" t="e">
        <f t="shared" si="12"/>
        <v>#DIV/0!</v>
      </c>
      <c r="M88" s="100" t="e">
        <f t="shared" si="21"/>
        <v>#DIV/0!</v>
      </c>
      <c r="N88" s="108" t="e">
        <f t="shared" si="15"/>
        <v>#DIV/0!</v>
      </c>
      <c r="O88" s="109" t="e">
        <f t="shared" si="13"/>
        <v>#DIV/0!</v>
      </c>
      <c r="P88" s="110" t="e">
        <f t="shared" si="16"/>
        <v>#DIV/0!</v>
      </c>
      <c r="Q88" s="110" t="e">
        <f t="shared" si="17"/>
        <v>#DIV/0!</v>
      </c>
      <c r="R88" s="111" t="e">
        <f t="shared" si="18"/>
        <v>#DIV/0!</v>
      </c>
      <c r="S88" s="112" t="e">
        <f t="shared" si="19"/>
        <v>#DIV/0!</v>
      </c>
      <c r="T88" s="112"/>
      <c r="U88" s="112" t="e">
        <f t="shared" si="20"/>
        <v>#DIV/0!</v>
      </c>
      <c r="V88" s="63"/>
      <c r="W88" s="100" t="e">
        <f t="shared" si="22"/>
        <v>#DIV/0!</v>
      </c>
      <c r="X88" s="112" t="b">
        <f t="shared" si="14"/>
        <v>0</v>
      </c>
      <c r="Y88" s="58"/>
    </row>
    <row r="89" spans="1:25" ht="16.5" hidden="1" x14ac:dyDescent="0.15">
      <c r="A89" s="58"/>
      <c r="B89" s="100"/>
      <c r="C89" s="120"/>
      <c r="D89" s="58"/>
      <c r="E89" s="121"/>
      <c r="H89" s="100" t="e">
        <f t="shared" si="10"/>
        <v>#DIV/0!</v>
      </c>
      <c r="I89" s="58"/>
      <c r="J89" s="58" t="e">
        <f t="shared" si="11"/>
        <v>#REF!</v>
      </c>
      <c r="K89" s="107">
        <f>HLOOKUP(Simulator!$C$6,Calculation_445!L$58:AF$73,15,FALSE)</f>
        <v>0</v>
      </c>
      <c r="L89" s="76" t="e">
        <f t="shared" si="12"/>
        <v>#DIV/0!</v>
      </c>
      <c r="M89" s="100" t="e">
        <f t="shared" si="21"/>
        <v>#DIV/0!</v>
      </c>
      <c r="N89" s="108" t="e">
        <f t="shared" si="15"/>
        <v>#DIV/0!</v>
      </c>
      <c r="O89" s="109" t="e">
        <f t="shared" si="13"/>
        <v>#DIV/0!</v>
      </c>
      <c r="P89" s="110" t="e">
        <f t="shared" si="16"/>
        <v>#DIV/0!</v>
      </c>
      <c r="Q89" s="110" t="e">
        <f t="shared" si="17"/>
        <v>#DIV/0!</v>
      </c>
      <c r="R89" s="111" t="e">
        <f t="shared" si="18"/>
        <v>#DIV/0!</v>
      </c>
      <c r="S89" s="112" t="e">
        <f t="shared" si="19"/>
        <v>#DIV/0!</v>
      </c>
      <c r="T89" s="112"/>
      <c r="U89" s="112" t="e">
        <f t="shared" si="20"/>
        <v>#DIV/0!</v>
      </c>
      <c r="V89" s="63"/>
      <c r="W89" s="100" t="e">
        <f>S89*V89</f>
        <v>#DIV/0!</v>
      </c>
      <c r="X89" s="112" t="b">
        <f t="shared" si="14"/>
        <v>0</v>
      </c>
      <c r="Y89" s="58"/>
    </row>
    <row r="90" spans="1:25" ht="16.5" hidden="1" x14ac:dyDescent="0.15">
      <c r="A90" s="58"/>
      <c r="B90" s="95"/>
      <c r="C90" s="103"/>
      <c r="D90" s="58"/>
      <c r="E90" s="58"/>
      <c r="F90" s="58"/>
      <c r="G90" s="58"/>
      <c r="H90" s="100" t="e">
        <f t="shared" si="10"/>
        <v>#DIV/0!</v>
      </c>
      <c r="I90" s="58"/>
      <c r="J90" s="58" t="e">
        <f t="shared" si="11"/>
        <v>#REF!</v>
      </c>
      <c r="K90" s="107">
        <f>HLOOKUP(Simulator!$C$6,Calculation_445!L$58:AF$73,16,FALSE)</f>
        <v>0</v>
      </c>
      <c r="L90" s="76" t="e">
        <f t="shared" si="12"/>
        <v>#DIV/0!</v>
      </c>
      <c r="M90" s="100" t="e">
        <f t="shared" si="21"/>
        <v>#DIV/0!</v>
      </c>
      <c r="N90" s="108" t="e">
        <f t="shared" si="15"/>
        <v>#DIV/0!</v>
      </c>
      <c r="O90" s="109" t="e">
        <f t="shared" si="13"/>
        <v>#DIV/0!</v>
      </c>
      <c r="P90" s="110" t="e">
        <f t="shared" si="16"/>
        <v>#DIV/0!</v>
      </c>
      <c r="Q90" s="110" t="e">
        <f t="shared" si="17"/>
        <v>#DIV/0!</v>
      </c>
      <c r="R90" s="111" t="e">
        <f t="shared" si="18"/>
        <v>#DIV/0!</v>
      </c>
      <c r="S90" s="112" t="e">
        <f t="shared" si="19"/>
        <v>#DIV/0!</v>
      </c>
      <c r="T90" s="112"/>
      <c r="U90" s="112" t="e">
        <f t="shared" si="20"/>
        <v>#DIV/0!</v>
      </c>
      <c r="V90" s="63"/>
      <c r="W90" s="100" t="e">
        <f>S90*V90</f>
        <v>#DIV/0!</v>
      </c>
      <c r="X90" s="112" t="b">
        <f t="shared" si="14"/>
        <v>0</v>
      </c>
    </row>
    <row r="91" spans="1:25" ht="16.5" hidden="1" x14ac:dyDescent="0.15">
      <c r="A91" s="58"/>
      <c r="B91" s="95"/>
      <c r="C91" s="103"/>
      <c r="D91" s="102"/>
      <c r="E91" s="122"/>
      <c r="F91" s="58"/>
      <c r="G91" s="58"/>
      <c r="H91" s="58"/>
      <c r="I91" s="58"/>
      <c r="J91" s="58"/>
      <c r="K91" s="58"/>
      <c r="L91" s="58"/>
      <c r="M91" s="58"/>
      <c r="N91" s="58"/>
      <c r="O91" s="109"/>
      <c r="P91" s="104"/>
      <c r="Q91" s="66"/>
      <c r="R91" s="66"/>
      <c r="S91" s="66"/>
      <c r="T91" s="66"/>
      <c r="U91" s="58"/>
      <c r="V91" s="58"/>
      <c r="W91" s="58"/>
    </row>
    <row r="92" spans="1:25" ht="16.5" hidden="1" x14ac:dyDescent="0.15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109"/>
      <c r="P92" s="104" t="s">
        <v>134</v>
      </c>
      <c r="Q92" s="104" t="s">
        <v>5</v>
      </c>
      <c r="R92" s="104"/>
      <c r="S92" s="104"/>
      <c r="T92" s="104"/>
      <c r="U92" s="58"/>
      <c r="V92" s="58"/>
      <c r="W92" s="58"/>
    </row>
    <row r="93" spans="1:25" ht="16.5" hidden="1" x14ac:dyDescent="0.15">
      <c r="A93" s="58"/>
      <c r="C93" s="123"/>
      <c r="D93" s="123"/>
      <c r="E93" s="123"/>
      <c r="F93" s="123"/>
      <c r="G93" s="58"/>
      <c r="H93" s="58"/>
      <c r="I93" s="58"/>
      <c r="J93" s="58"/>
      <c r="K93" s="100"/>
      <c r="L93" s="100"/>
      <c r="M93" s="100"/>
      <c r="N93" s="58"/>
      <c r="O93" s="109"/>
      <c r="P93" s="66"/>
      <c r="Q93" s="124">
        <f>C42</f>
        <v>5</v>
      </c>
      <c r="R93" s="124"/>
      <c r="S93" s="66"/>
      <c r="T93" s="66"/>
      <c r="U93" s="58"/>
      <c r="V93" s="58"/>
      <c r="W93" s="58"/>
    </row>
    <row r="94" spans="1:25" ht="16.5" hidden="1" x14ac:dyDescent="0.15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100"/>
      <c r="L94" s="100"/>
      <c r="M94" s="100"/>
      <c r="N94" s="58"/>
      <c r="O94" s="109"/>
      <c r="P94" s="66"/>
      <c r="Q94" s="66"/>
      <c r="R94" s="66"/>
      <c r="S94" s="66"/>
      <c r="T94" s="66"/>
      <c r="U94" s="58"/>
      <c r="V94" s="58"/>
      <c r="W94" s="58"/>
    </row>
    <row r="95" spans="1:25" ht="16.5" hidden="1" x14ac:dyDescent="0.15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100"/>
      <c r="L95" s="100"/>
      <c r="M95" s="100"/>
      <c r="N95" s="58"/>
      <c r="O95" s="109"/>
      <c r="P95" s="104" t="s">
        <v>134</v>
      </c>
      <c r="Q95" s="104" t="s">
        <v>4</v>
      </c>
      <c r="R95" s="104"/>
      <c r="S95" s="104" t="s">
        <v>5</v>
      </c>
      <c r="T95" s="66"/>
      <c r="U95" s="58"/>
      <c r="V95" s="58"/>
      <c r="W95" s="58"/>
    </row>
    <row r="96" spans="1:25" ht="16.5" hidden="1" x14ac:dyDescent="0.15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100"/>
      <c r="L96" s="100"/>
      <c r="M96" s="100"/>
      <c r="N96" s="58"/>
      <c r="O96" s="109"/>
      <c r="P96" s="66"/>
      <c r="Q96" s="66">
        <f>$C$44</f>
        <v>105</v>
      </c>
      <c r="R96" s="66"/>
      <c r="S96" s="66">
        <f>$D$44</f>
        <v>-30</v>
      </c>
      <c r="T96" s="66"/>
      <c r="U96" s="58"/>
      <c r="V96" s="58"/>
      <c r="W96" s="58"/>
    </row>
    <row r="97" spans="1:23" ht="16.5" hidden="1" x14ac:dyDescent="0.15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100"/>
      <c r="L97" s="100"/>
      <c r="M97" s="100"/>
      <c r="N97" s="58"/>
      <c r="O97" s="109"/>
      <c r="T97" s="66"/>
      <c r="U97" s="58"/>
      <c r="V97" s="58"/>
      <c r="W97" s="58"/>
    </row>
    <row r="98" spans="1:23" ht="16.5" hidden="1" x14ac:dyDescent="0.15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100"/>
      <c r="L98" s="100"/>
      <c r="M98" s="100"/>
      <c r="N98" s="58"/>
      <c r="O98" s="109"/>
      <c r="P98" s="104" t="s">
        <v>7</v>
      </c>
      <c r="Q98" s="104" t="s">
        <v>4</v>
      </c>
      <c r="R98" s="104"/>
      <c r="S98" s="104" t="s">
        <v>5</v>
      </c>
      <c r="T98" s="66"/>
      <c r="U98" s="58"/>
      <c r="V98" s="58"/>
      <c r="W98" s="58"/>
    </row>
    <row r="99" spans="1:23" ht="16.5" hidden="1" x14ac:dyDescent="0.15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109"/>
      <c r="P99" s="66"/>
      <c r="Q99" s="66">
        <f>$C$46</f>
        <v>140</v>
      </c>
      <c r="R99" s="66"/>
      <c r="S99" s="66">
        <f>$D$46</f>
        <v>-25</v>
      </c>
      <c r="T99" s="66"/>
      <c r="U99" s="58"/>
      <c r="V99" s="58"/>
      <c r="W99" s="58"/>
    </row>
    <row r="100" spans="1:23" ht="16.5" hidden="1" x14ac:dyDescent="0.15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100"/>
      <c r="M100" s="76"/>
      <c r="N100" s="58"/>
      <c r="O100" s="109"/>
      <c r="P100" s="66"/>
      <c r="Q100" s="66"/>
      <c r="R100" s="66"/>
      <c r="S100" s="66"/>
      <c r="T100" s="66"/>
      <c r="U100" s="58"/>
      <c r="V100" s="58"/>
      <c r="W100" s="58"/>
    </row>
    <row r="101" spans="1:23" ht="16.5" hidden="1" x14ac:dyDescent="0.15">
      <c r="A101" s="58"/>
      <c r="B101" s="58"/>
      <c r="C101" s="58"/>
      <c r="D101" s="58"/>
      <c r="E101" s="58"/>
      <c r="F101" s="58"/>
      <c r="G101" s="58"/>
      <c r="H101" s="58"/>
      <c r="I101" s="58" t="s">
        <v>115</v>
      </c>
      <c r="J101" s="58"/>
      <c r="K101" s="58"/>
      <c r="L101" s="100"/>
      <c r="M101" s="76"/>
      <c r="N101" s="58"/>
      <c r="O101" s="109"/>
      <c r="P101" s="66"/>
      <c r="Q101" s="104" t="s">
        <v>134</v>
      </c>
      <c r="R101" s="104" t="s">
        <v>6</v>
      </c>
      <c r="S101" s="104"/>
      <c r="T101" s="104"/>
      <c r="U101" s="104"/>
      <c r="V101" s="104" t="s">
        <v>7</v>
      </c>
      <c r="W101" s="104" t="s">
        <v>52</v>
      </c>
    </row>
    <row r="102" spans="1:23" ht="16.5" hidden="1" x14ac:dyDescent="0.15">
      <c r="A102" s="58"/>
      <c r="B102" s="58"/>
      <c r="C102" s="58"/>
      <c r="D102" s="58"/>
      <c r="E102" s="58"/>
      <c r="F102" s="58"/>
      <c r="G102" s="58"/>
      <c r="H102" s="58"/>
      <c r="I102" s="58" t="s">
        <v>116</v>
      </c>
      <c r="J102" s="58" t="s">
        <v>117</v>
      </c>
      <c r="K102" s="58" t="s">
        <v>37</v>
      </c>
      <c r="M102" s="76"/>
      <c r="N102" s="100" t="s">
        <v>39</v>
      </c>
      <c r="O102" s="109"/>
      <c r="P102" s="66"/>
      <c r="Q102" s="104" t="s">
        <v>3</v>
      </c>
      <c r="R102" s="104" t="s">
        <v>38</v>
      </c>
      <c r="S102" s="104"/>
      <c r="T102" s="104" t="s">
        <v>39</v>
      </c>
      <c r="U102" s="104" t="s">
        <v>53</v>
      </c>
      <c r="V102" s="104" t="s">
        <v>3</v>
      </c>
      <c r="W102" s="104" t="s">
        <v>54</v>
      </c>
    </row>
    <row r="103" spans="1:23" ht="16.5" hidden="1" x14ac:dyDescent="0.4">
      <c r="A103" s="58"/>
      <c r="B103" s="58"/>
      <c r="C103" s="58"/>
      <c r="D103" s="58"/>
      <c r="E103" s="58"/>
      <c r="F103" s="58"/>
      <c r="G103" s="58"/>
      <c r="H103" s="58"/>
      <c r="I103" s="93">
        <v>-20</v>
      </c>
      <c r="J103" s="93">
        <v>2900</v>
      </c>
      <c r="K103" s="58"/>
      <c r="L103" s="100">
        <f t="shared" ref="L103:L116" si="23">$D$42*I60</f>
        <v>900</v>
      </c>
      <c r="M103" s="125">
        <f>(I103*$E$68)+J103</f>
        <v>2400</v>
      </c>
      <c r="N103" s="126">
        <f t="shared" ref="N103:N116" si="24">IF(L103&gt;=M103,M103,L103)</f>
        <v>900</v>
      </c>
      <c r="O103" s="109"/>
      <c r="P103" s="58" t="str">
        <f t="shared" ref="P103:P116" si="25">J77</f>
        <v>PSL440-0404C4</v>
      </c>
      <c r="Q103" s="66" t="b">
        <f t="shared" ref="Q103:Q116" si="26">AND(S$96&lt;=$E$68,Q$96&gt;=$E$68)</f>
        <v>1</v>
      </c>
      <c r="R103" s="100">
        <f t="shared" ref="R103:R116" si="27">Q$93*I60</f>
        <v>20</v>
      </c>
      <c r="S103" s="100"/>
      <c r="T103" s="100">
        <f>N103</f>
        <v>900</v>
      </c>
      <c r="U103" s="66" t="b">
        <f t="shared" ref="U103:U116" si="28">IFERROR(AND(Q103,R103&lt;=N77,T103&gt;=N77),FALSE)</f>
        <v>0</v>
      </c>
      <c r="V103" s="66" t="b">
        <f t="shared" ref="V103:V116" si="29">AND(Q103,S$99&lt;X77,Q$99&gt;X77)</f>
        <v>0</v>
      </c>
      <c r="W103" s="66" t="b">
        <f>AND(U103,Q103,V103)</f>
        <v>0</v>
      </c>
    </row>
    <row r="104" spans="1:23" ht="16.5" hidden="1" x14ac:dyDescent="0.4">
      <c r="A104" s="58"/>
      <c r="B104" s="58"/>
      <c r="C104" s="58"/>
      <c r="D104" s="58"/>
      <c r="E104" s="58"/>
      <c r="F104" s="58"/>
      <c r="G104" s="58"/>
      <c r="H104" s="58"/>
      <c r="I104" s="93">
        <v>-25.714285714285715</v>
      </c>
      <c r="J104" s="93">
        <v>3600</v>
      </c>
      <c r="K104" s="58"/>
      <c r="L104" s="100">
        <f t="shared" si="23"/>
        <v>1125</v>
      </c>
      <c r="M104" s="125">
        <f t="shared" ref="M104:M116" si="30">(I104*$E$68)+J104</f>
        <v>2957.1428571428569</v>
      </c>
      <c r="N104" s="126">
        <f t="shared" si="24"/>
        <v>1125</v>
      </c>
      <c r="O104" s="109"/>
      <c r="P104" s="58" t="str">
        <f t="shared" si="25"/>
        <v>PSL445-0405C4</v>
      </c>
      <c r="Q104" s="66" t="b">
        <f t="shared" si="26"/>
        <v>1</v>
      </c>
      <c r="R104" s="100">
        <f t="shared" si="27"/>
        <v>25</v>
      </c>
      <c r="S104" s="100"/>
      <c r="T104" s="100">
        <f>N104</f>
        <v>1125</v>
      </c>
      <c r="U104" s="66" t="b">
        <f t="shared" si="28"/>
        <v>1</v>
      </c>
      <c r="V104" s="66" t="b">
        <f t="shared" si="29"/>
        <v>1</v>
      </c>
      <c r="W104" s="66" t="b">
        <f>AND(U104,Q104,V104)</f>
        <v>1</v>
      </c>
    </row>
    <row r="105" spans="1:23" ht="16.5" hidden="1" x14ac:dyDescent="0.4">
      <c r="A105" s="58"/>
      <c r="B105" s="58"/>
      <c r="C105" s="58"/>
      <c r="D105" s="58"/>
      <c r="E105" s="58"/>
      <c r="F105" s="58"/>
      <c r="G105" s="58"/>
      <c r="H105" s="58"/>
      <c r="I105" s="93"/>
      <c r="J105" s="93"/>
      <c r="K105" s="58"/>
      <c r="L105" s="100">
        <f t="shared" si="23"/>
        <v>0</v>
      </c>
      <c r="M105" s="125">
        <f t="shared" si="30"/>
        <v>0</v>
      </c>
      <c r="N105" s="126">
        <f t="shared" si="24"/>
        <v>0</v>
      </c>
      <c r="O105" s="58"/>
      <c r="P105" s="58" t="e">
        <f t="shared" si="25"/>
        <v>#REF!</v>
      </c>
      <c r="Q105" s="66" t="b">
        <f t="shared" si="26"/>
        <v>1</v>
      </c>
      <c r="R105" s="100">
        <f t="shared" si="27"/>
        <v>0</v>
      </c>
      <c r="S105" s="100"/>
      <c r="T105" s="100">
        <f t="shared" ref="T105:T116" si="31">N105</f>
        <v>0</v>
      </c>
      <c r="U105" s="66" t="b">
        <f t="shared" si="28"/>
        <v>0</v>
      </c>
      <c r="V105" s="66" t="b">
        <f t="shared" si="29"/>
        <v>0</v>
      </c>
      <c r="W105" s="66" t="b">
        <f t="shared" ref="W105:W116" si="32">AND(U105,Q105,V105)</f>
        <v>0</v>
      </c>
    </row>
    <row r="106" spans="1:23" ht="16.5" hidden="1" x14ac:dyDescent="0.4">
      <c r="A106" s="58"/>
      <c r="B106" s="58"/>
      <c r="C106" s="58"/>
      <c r="D106" s="58"/>
      <c r="E106" s="58"/>
      <c r="F106" s="58"/>
      <c r="G106" s="58"/>
      <c r="H106" s="58"/>
      <c r="I106" s="93"/>
      <c r="J106" s="93"/>
      <c r="K106" s="58"/>
      <c r="L106" s="100">
        <f t="shared" si="23"/>
        <v>0</v>
      </c>
      <c r="M106" s="125">
        <f t="shared" si="30"/>
        <v>0</v>
      </c>
      <c r="N106" s="126">
        <f t="shared" si="24"/>
        <v>0</v>
      </c>
      <c r="O106" s="58"/>
      <c r="P106" s="58" t="e">
        <f t="shared" si="25"/>
        <v>#REF!</v>
      </c>
      <c r="Q106" s="66" t="b">
        <f t="shared" si="26"/>
        <v>1</v>
      </c>
      <c r="R106" s="100">
        <f t="shared" si="27"/>
        <v>0</v>
      </c>
      <c r="S106" s="100"/>
      <c r="T106" s="100">
        <f t="shared" si="31"/>
        <v>0</v>
      </c>
      <c r="U106" s="66" t="b">
        <f t="shared" si="28"/>
        <v>0</v>
      </c>
      <c r="V106" s="66" t="b">
        <f t="shared" si="29"/>
        <v>0</v>
      </c>
      <c r="W106" s="66" t="b">
        <f t="shared" si="32"/>
        <v>0</v>
      </c>
    </row>
    <row r="107" spans="1:23" ht="16.5" hidden="1" x14ac:dyDescent="0.4">
      <c r="A107" s="58"/>
      <c r="B107" s="58"/>
      <c r="C107" s="58"/>
      <c r="D107" s="58"/>
      <c r="E107" s="58"/>
      <c r="F107" s="58"/>
      <c r="G107" s="58"/>
      <c r="H107" s="58"/>
      <c r="I107" s="93"/>
      <c r="J107" s="93"/>
      <c r="K107" s="58"/>
      <c r="L107" s="100">
        <f t="shared" si="23"/>
        <v>0</v>
      </c>
      <c r="M107" s="125">
        <f t="shared" si="30"/>
        <v>0</v>
      </c>
      <c r="N107" s="126">
        <f>IF(L107&gt;=M107,M107,L107)</f>
        <v>0</v>
      </c>
      <c r="O107" s="58"/>
      <c r="P107" s="58" t="e">
        <f t="shared" si="25"/>
        <v>#REF!</v>
      </c>
      <c r="Q107" s="66" t="b">
        <f t="shared" si="26"/>
        <v>1</v>
      </c>
      <c r="R107" s="100">
        <f t="shared" si="27"/>
        <v>0</v>
      </c>
      <c r="S107" s="100"/>
      <c r="T107" s="100">
        <f t="shared" si="31"/>
        <v>0</v>
      </c>
      <c r="U107" s="66" t="b">
        <f t="shared" si="28"/>
        <v>0</v>
      </c>
      <c r="V107" s="66" t="b">
        <f t="shared" si="29"/>
        <v>0</v>
      </c>
      <c r="W107" s="66" t="b">
        <f t="shared" si="32"/>
        <v>0</v>
      </c>
    </row>
    <row r="108" spans="1:23" ht="16.5" hidden="1" x14ac:dyDescent="0.4">
      <c r="A108" s="58"/>
      <c r="B108" s="58"/>
      <c r="C108" s="58"/>
      <c r="D108" s="58"/>
      <c r="E108" s="58"/>
      <c r="F108" s="58"/>
      <c r="G108" s="58"/>
      <c r="H108" s="58"/>
      <c r="I108" s="93"/>
      <c r="J108" s="93"/>
      <c r="K108" s="58"/>
      <c r="L108" s="100">
        <f t="shared" si="23"/>
        <v>0</v>
      </c>
      <c r="M108" s="125">
        <f t="shared" si="30"/>
        <v>0</v>
      </c>
      <c r="N108" s="126">
        <f t="shared" si="24"/>
        <v>0</v>
      </c>
      <c r="O108" s="58"/>
      <c r="P108" s="58" t="e">
        <f t="shared" si="25"/>
        <v>#REF!</v>
      </c>
      <c r="Q108" s="66" t="b">
        <f t="shared" si="26"/>
        <v>1</v>
      </c>
      <c r="R108" s="100">
        <f t="shared" si="27"/>
        <v>0</v>
      </c>
      <c r="S108" s="100"/>
      <c r="T108" s="100">
        <f t="shared" si="31"/>
        <v>0</v>
      </c>
      <c r="U108" s="66" t="b">
        <f t="shared" si="28"/>
        <v>0</v>
      </c>
      <c r="V108" s="66" t="b">
        <f t="shared" si="29"/>
        <v>0</v>
      </c>
      <c r="W108" s="66" t="b">
        <f t="shared" si="32"/>
        <v>0</v>
      </c>
    </row>
    <row r="109" spans="1:23" ht="16.5" hidden="1" x14ac:dyDescent="0.4">
      <c r="A109" s="58"/>
      <c r="B109" s="58"/>
      <c r="C109" s="58"/>
      <c r="D109" s="58"/>
      <c r="E109" s="58"/>
      <c r="F109" s="58"/>
      <c r="G109" s="58"/>
      <c r="H109" s="58"/>
      <c r="I109" s="93"/>
      <c r="J109" s="93"/>
      <c r="K109" s="58"/>
      <c r="L109" s="100">
        <f t="shared" si="23"/>
        <v>0</v>
      </c>
      <c r="M109" s="125">
        <f t="shared" si="30"/>
        <v>0</v>
      </c>
      <c r="N109" s="126">
        <f t="shared" si="24"/>
        <v>0</v>
      </c>
      <c r="O109" s="58"/>
      <c r="P109" s="58" t="e">
        <f t="shared" si="25"/>
        <v>#REF!</v>
      </c>
      <c r="Q109" s="66" t="b">
        <f t="shared" si="26"/>
        <v>1</v>
      </c>
      <c r="R109" s="100">
        <f t="shared" si="27"/>
        <v>0</v>
      </c>
      <c r="S109" s="100"/>
      <c r="T109" s="100">
        <f t="shared" si="31"/>
        <v>0</v>
      </c>
      <c r="U109" s="66" t="b">
        <f t="shared" si="28"/>
        <v>0</v>
      </c>
      <c r="V109" s="66" t="b">
        <f t="shared" si="29"/>
        <v>0</v>
      </c>
      <c r="W109" s="66" t="b">
        <f t="shared" si="32"/>
        <v>0</v>
      </c>
    </row>
    <row r="110" spans="1:23" ht="16.5" hidden="1" x14ac:dyDescent="0.4">
      <c r="A110" s="58"/>
      <c r="B110" s="58"/>
      <c r="C110" s="58"/>
      <c r="D110" s="58"/>
      <c r="E110" s="58"/>
      <c r="F110" s="58"/>
      <c r="G110" s="58"/>
      <c r="H110" s="58"/>
      <c r="I110" s="93"/>
      <c r="J110" s="93"/>
      <c r="K110" s="58"/>
      <c r="L110" s="100">
        <f t="shared" si="23"/>
        <v>0</v>
      </c>
      <c r="M110" s="125">
        <f t="shared" si="30"/>
        <v>0</v>
      </c>
      <c r="N110" s="126">
        <f t="shared" si="24"/>
        <v>0</v>
      </c>
      <c r="O110" s="58"/>
      <c r="P110" s="58" t="e">
        <f t="shared" si="25"/>
        <v>#REF!</v>
      </c>
      <c r="Q110" s="66" t="b">
        <f t="shared" si="26"/>
        <v>1</v>
      </c>
      <c r="R110" s="100">
        <f t="shared" si="27"/>
        <v>0</v>
      </c>
      <c r="S110" s="100"/>
      <c r="T110" s="100">
        <f t="shared" si="31"/>
        <v>0</v>
      </c>
      <c r="U110" s="66" t="b">
        <f t="shared" si="28"/>
        <v>0</v>
      </c>
      <c r="V110" s="66" t="b">
        <f t="shared" si="29"/>
        <v>0</v>
      </c>
      <c r="W110" s="66" t="b">
        <f t="shared" si="32"/>
        <v>0</v>
      </c>
    </row>
    <row r="111" spans="1:23" ht="16.5" hidden="1" x14ac:dyDescent="0.4">
      <c r="A111" s="58"/>
      <c r="B111" s="58"/>
      <c r="C111" s="58"/>
      <c r="D111" s="58"/>
      <c r="E111" s="58"/>
      <c r="F111" s="58"/>
      <c r="G111" s="58"/>
      <c r="H111" s="58"/>
      <c r="I111" s="93"/>
      <c r="J111" s="93"/>
      <c r="K111" s="58"/>
      <c r="L111" s="100">
        <f t="shared" si="23"/>
        <v>0</v>
      </c>
      <c r="M111" s="125">
        <f t="shared" si="30"/>
        <v>0</v>
      </c>
      <c r="N111" s="126">
        <f t="shared" si="24"/>
        <v>0</v>
      </c>
      <c r="O111" s="58"/>
      <c r="P111" s="58" t="e">
        <f>J85</f>
        <v>#REF!</v>
      </c>
      <c r="Q111" s="66" t="b">
        <f t="shared" si="26"/>
        <v>1</v>
      </c>
      <c r="R111" s="100">
        <f t="shared" si="27"/>
        <v>0</v>
      </c>
      <c r="S111" s="100"/>
      <c r="T111" s="100">
        <f t="shared" si="31"/>
        <v>0</v>
      </c>
      <c r="U111" s="66" t="b">
        <f t="shared" si="28"/>
        <v>0</v>
      </c>
      <c r="V111" s="66" t="b">
        <f t="shared" si="29"/>
        <v>0</v>
      </c>
      <c r="W111" s="66" t="b">
        <f t="shared" si="32"/>
        <v>0</v>
      </c>
    </row>
    <row r="112" spans="1:23" ht="16.5" hidden="1" x14ac:dyDescent="0.4">
      <c r="A112" s="58"/>
      <c r="B112" s="58"/>
      <c r="C112" s="58"/>
      <c r="D112" s="58"/>
      <c r="E112" s="58"/>
      <c r="F112" s="58"/>
      <c r="G112" s="58"/>
      <c r="H112" s="58"/>
      <c r="I112" s="93"/>
      <c r="J112" s="93"/>
      <c r="K112" s="58"/>
      <c r="L112" s="100">
        <f t="shared" si="23"/>
        <v>0</v>
      </c>
      <c r="M112" s="125">
        <f t="shared" si="30"/>
        <v>0</v>
      </c>
      <c r="N112" s="126">
        <f t="shared" si="24"/>
        <v>0</v>
      </c>
      <c r="O112" s="58"/>
      <c r="P112" s="58" t="e">
        <f t="shared" si="25"/>
        <v>#REF!</v>
      </c>
      <c r="Q112" s="66" t="b">
        <f t="shared" si="26"/>
        <v>1</v>
      </c>
      <c r="R112" s="100">
        <f t="shared" si="27"/>
        <v>0</v>
      </c>
      <c r="S112" s="100"/>
      <c r="T112" s="100">
        <f t="shared" si="31"/>
        <v>0</v>
      </c>
      <c r="U112" s="66" t="b">
        <f t="shared" si="28"/>
        <v>0</v>
      </c>
      <c r="V112" s="66" t="b">
        <f t="shared" si="29"/>
        <v>0</v>
      </c>
      <c r="W112" s="66" t="b">
        <f t="shared" si="32"/>
        <v>0</v>
      </c>
    </row>
    <row r="113" spans="1:32" ht="16.5" hidden="1" x14ac:dyDescent="0.4">
      <c r="A113" s="58"/>
      <c r="B113" s="58"/>
      <c r="C113" s="58"/>
      <c r="D113" s="58"/>
      <c r="E113" s="58"/>
      <c r="F113" s="58"/>
      <c r="G113" s="58"/>
      <c r="H113" s="58"/>
      <c r="I113" s="93"/>
      <c r="J113" s="93"/>
      <c r="K113" s="58"/>
      <c r="L113" s="100">
        <f t="shared" si="23"/>
        <v>0</v>
      </c>
      <c r="M113" s="125">
        <f t="shared" si="30"/>
        <v>0</v>
      </c>
      <c r="N113" s="126">
        <f t="shared" si="24"/>
        <v>0</v>
      </c>
      <c r="O113" s="58"/>
      <c r="P113" s="58" t="e">
        <f t="shared" si="25"/>
        <v>#REF!</v>
      </c>
      <c r="Q113" s="66" t="b">
        <f t="shared" si="26"/>
        <v>1</v>
      </c>
      <c r="R113" s="100">
        <f t="shared" si="27"/>
        <v>0</v>
      </c>
      <c r="S113" s="100"/>
      <c r="T113" s="100">
        <f t="shared" si="31"/>
        <v>0</v>
      </c>
      <c r="U113" s="66" t="b">
        <f t="shared" si="28"/>
        <v>0</v>
      </c>
      <c r="V113" s="66" t="b">
        <f t="shared" si="29"/>
        <v>0</v>
      </c>
      <c r="W113" s="66" t="b">
        <f t="shared" si="32"/>
        <v>0</v>
      </c>
    </row>
    <row r="114" spans="1:32" ht="16.5" hidden="1" x14ac:dyDescent="0.4">
      <c r="A114" s="58"/>
      <c r="B114" s="58"/>
      <c r="C114" s="58"/>
      <c r="D114" s="58"/>
      <c r="E114" s="58"/>
      <c r="F114" s="58"/>
      <c r="G114" s="58"/>
      <c r="H114" s="58"/>
      <c r="I114" s="93"/>
      <c r="J114" s="93"/>
      <c r="K114" s="58"/>
      <c r="L114" s="100">
        <f t="shared" si="23"/>
        <v>0</v>
      </c>
      <c r="M114" s="125">
        <f t="shared" si="30"/>
        <v>0</v>
      </c>
      <c r="N114" s="126">
        <f t="shared" si="24"/>
        <v>0</v>
      </c>
      <c r="O114" s="58"/>
      <c r="P114" s="58" t="e">
        <f t="shared" si="25"/>
        <v>#REF!</v>
      </c>
      <c r="Q114" s="66" t="b">
        <f t="shared" si="26"/>
        <v>1</v>
      </c>
      <c r="R114" s="100">
        <f t="shared" si="27"/>
        <v>0</v>
      </c>
      <c r="S114" s="100"/>
      <c r="T114" s="100">
        <f t="shared" si="31"/>
        <v>0</v>
      </c>
      <c r="U114" s="66" t="b">
        <f t="shared" si="28"/>
        <v>0</v>
      </c>
      <c r="V114" s="66" t="b">
        <f t="shared" si="29"/>
        <v>0</v>
      </c>
      <c r="W114" s="66" t="b">
        <f t="shared" si="32"/>
        <v>0</v>
      </c>
    </row>
    <row r="115" spans="1:32" ht="16.5" hidden="1" x14ac:dyDescent="0.4">
      <c r="A115" s="58"/>
      <c r="B115" s="58"/>
      <c r="C115" s="58"/>
      <c r="D115" s="58"/>
      <c r="E115" s="58"/>
      <c r="F115" s="58"/>
      <c r="G115" s="58"/>
      <c r="H115" s="58"/>
      <c r="I115" s="93"/>
      <c r="J115" s="93"/>
      <c r="K115" s="58"/>
      <c r="L115" s="100">
        <f t="shared" si="23"/>
        <v>0</v>
      </c>
      <c r="M115" s="125">
        <f t="shared" si="30"/>
        <v>0</v>
      </c>
      <c r="N115" s="126">
        <f t="shared" si="24"/>
        <v>0</v>
      </c>
      <c r="O115" s="58"/>
      <c r="P115" s="58" t="e">
        <f t="shared" si="25"/>
        <v>#REF!</v>
      </c>
      <c r="Q115" s="66" t="b">
        <f t="shared" si="26"/>
        <v>1</v>
      </c>
      <c r="R115" s="100">
        <f t="shared" si="27"/>
        <v>0</v>
      </c>
      <c r="S115" s="100"/>
      <c r="T115" s="100">
        <f t="shared" si="31"/>
        <v>0</v>
      </c>
      <c r="U115" s="66" t="b">
        <f t="shared" si="28"/>
        <v>0</v>
      </c>
      <c r="V115" s="66" t="b">
        <f t="shared" si="29"/>
        <v>0</v>
      </c>
      <c r="W115" s="66" t="b">
        <f t="shared" si="32"/>
        <v>0</v>
      </c>
    </row>
    <row r="116" spans="1:32" ht="16.5" hidden="1" x14ac:dyDescent="0.4">
      <c r="A116" s="58"/>
      <c r="B116" s="58"/>
      <c r="C116" s="58"/>
      <c r="D116" s="58"/>
      <c r="E116" s="58"/>
      <c r="F116" s="58"/>
      <c r="G116" s="58"/>
      <c r="H116" s="58"/>
      <c r="I116" s="93"/>
      <c r="J116" s="93"/>
      <c r="K116" s="58"/>
      <c r="L116" s="100">
        <f t="shared" si="23"/>
        <v>0</v>
      </c>
      <c r="M116" s="125">
        <f t="shared" si="30"/>
        <v>0</v>
      </c>
      <c r="N116" s="126">
        <f t="shared" si="24"/>
        <v>0</v>
      </c>
      <c r="O116" s="58"/>
      <c r="P116" s="58" t="e">
        <f t="shared" si="25"/>
        <v>#REF!</v>
      </c>
      <c r="Q116" s="66" t="b">
        <f t="shared" si="26"/>
        <v>1</v>
      </c>
      <c r="R116" s="100">
        <f t="shared" si="27"/>
        <v>0</v>
      </c>
      <c r="S116" s="100"/>
      <c r="T116" s="100">
        <f t="shared" si="31"/>
        <v>0</v>
      </c>
      <c r="U116" s="66" t="b">
        <f t="shared" si="28"/>
        <v>0</v>
      </c>
      <c r="V116" s="66" t="b">
        <f t="shared" si="29"/>
        <v>0</v>
      </c>
      <c r="W116" s="66" t="b">
        <f t="shared" si="32"/>
        <v>0</v>
      </c>
    </row>
    <row r="117" spans="1:32" ht="16.5" hidden="1" x14ac:dyDescent="0.15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 t="s">
        <v>133</v>
      </c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</row>
    <row r="118" spans="1:32" ht="16.5" hidden="1" x14ac:dyDescent="0.15">
      <c r="A118" s="84"/>
      <c r="B118" s="84" t="s">
        <v>41</v>
      </c>
      <c r="C118" s="84" t="s">
        <v>42</v>
      </c>
      <c r="D118" s="84" t="s">
        <v>43</v>
      </c>
      <c r="E118" s="84" t="s">
        <v>143</v>
      </c>
      <c r="F118" s="84" t="s">
        <v>137</v>
      </c>
      <c r="G118" s="58"/>
      <c r="H118" s="58"/>
      <c r="I118" s="58"/>
      <c r="J118" s="58"/>
      <c r="K118" s="127"/>
      <c r="L118" s="127">
        <f>L58</f>
        <v>1</v>
      </c>
      <c r="M118" s="127">
        <f t="shared" ref="M118:AF133" si="33">M58</f>
        <v>2</v>
      </c>
      <c r="N118" s="127">
        <f t="shared" si="33"/>
        <v>0</v>
      </c>
      <c r="O118" s="127">
        <f t="shared" si="33"/>
        <v>0</v>
      </c>
      <c r="P118" s="127">
        <f t="shared" si="33"/>
        <v>3</v>
      </c>
      <c r="Q118" s="127">
        <f t="shared" si="33"/>
        <v>4</v>
      </c>
      <c r="R118" s="127">
        <f t="shared" si="33"/>
        <v>5</v>
      </c>
      <c r="S118" s="127">
        <f t="shared" si="33"/>
        <v>6</v>
      </c>
      <c r="T118" s="127">
        <f t="shared" si="33"/>
        <v>7</v>
      </c>
      <c r="U118" s="127">
        <f t="shared" si="33"/>
        <v>8</v>
      </c>
      <c r="V118" s="127">
        <f t="shared" si="33"/>
        <v>9</v>
      </c>
      <c r="W118" s="127">
        <f t="shared" si="33"/>
        <v>10</v>
      </c>
      <c r="X118" s="127">
        <f t="shared" si="33"/>
        <v>11</v>
      </c>
      <c r="Y118" s="127">
        <f t="shared" si="33"/>
        <v>12</v>
      </c>
      <c r="Z118" s="127">
        <f t="shared" si="33"/>
        <v>13</v>
      </c>
      <c r="AA118" s="127">
        <f t="shared" si="33"/>
        <v>14</v>
      </c>
      <c r="AB118" s="127">
        <f t="shared" si="33"/>
        <v>0</v>
      </c>
      <c r="AC118" s="127">
        <f t="shared" si="33"/>
        <v>0</v>
      </c>
      <c r="AD118" s="127">
        <f t="shared" si="33"/>
        <v>0</v>
      </c>
      <c r="AE118" s="127">
        <f t="shared" si="33"/>
        <v>0</v>
      </c>
      <c r="AF118" s="127">
        <f t="shared" si="33"/>
        <v>0</v>
      </c>
    </row>
    <row r="119" spans="1:32" ht="16.5" hidden="1" x14ac:dyDescent="0.15">
      <c r="A119" s="84" t="s">
        <v>44</v>
      </c>
      <c r="B119" s="55">
        <f t="shared" ref="B119:F121" si="34">C52</f>
        <v>1.325581684279552E-8</v>
      </c>
      <c r="C119" s="55">
        <f t="shared" si="34"/>
        <v>0.46671224567701941</v>
      </c>
      <c r="D119" s="55">
        <f t="shared" si="34"/>
        <v>-1.4488963867740539E-6</v>
      </c>
      <c r="E119" s="55">
        <f t="shared" si="34"/>
        <v>5.0684039881566125E-7</v>
      </c>
      <c r="F119" s="55">
        <f t="shared" si="34"/>
        <v>2.6927154478637799E-6</v>
      </c>
      <c r="G119" s="58"/>
      <c r="H119" s="60" t="s">
        <v>1</v>
      </c>
      <c r="I119" s="60" t="s">
        <v>2</v>
      </c>
      <c r="J119" s="58"/>
      <c r="K119" s="127" t="s">
        <v>47</v>
      </c>
      <c r="L119" s="127" t="str">
        <f>L59</f>
        <v>5000K,70Min</v>
      </c>
      <c r="M119" s="127" t="str">
        <f t="shared" si="33"/>
        <v>4000K,70Min</v>
      </c>
      <c r="N119" s="127" t="e">
        <f t="shared" si="33"/>
        <v>#REF!</v>
      </c>
      <c r="O119" s="127" t="e">
        <f t="shared" si="33"/>
        <v>#REF!</v>
      </c>
      <c r="P119" s="127" t="str">
        <f t="shared" si="33"/>
        <v>5700K,80Min</v>
      </c>
      <c r="Q119" s="127" t="str">
        <f t="shared" si="33"/>
        <v>5000K,80Min</v>
      </c>
      <c r="R119" s="127" t="str">
        <f t="shared" si="33"/>
        <v>4000K,80Min</v>
      </c>
      <c r="S119" s="127" t="str">
        <f t="shared" si="33"/>
        <v>3500K,80Min</v>
      </c>
      <c r="T119" s="127" t="str">
        <f t="shared" si="33"/>
        <v>3000K,80Min</v>
      </c>
      <c r="U119" s="127" t="str">
        <f t="shared" si="33"/>
        <v>2700K,80Min</v>
      </c>
      <c r="V119" s="127" t="str">
        <f t="shared" si="33"/>
        <v>5700K,90Min On BBL</v>
      </c>
      <c r="W119" s="127" t="str">
        <f t="shared" si="33"/>
        <v>5000K,90Min On BBL</v>
      </c>
      <c r="X119" s="127" t="str">
        <f t="shared" si="33"/>
        <v>4000K,90Min On BBL</v>
      </c>
      <c r="Y119" s="127" t="str">
        <f t="shared" si="33"/>
        <v>3500K,90Min On BBL</v>
      </c>
      <c r="Z119" s="127" t="str">
        <f t="shared" si="33"/>
        <v>3000K,90Min On BBL</v>
      </c>
      <c r="AA119" s="127" t="str">
        <f t="shared" si="33"/>
        <v>2700K,90Min On BBL</v>
      </c>
      <c r="AB119" s="127" t="e">
        <f t="shared" si="33"/>
        <v>#REF!</v>
      </c>
      <c r="AC119" s="127" t="e">
        <f t="shared" si="33"/>
        <v>#REF!</v>
      </c>
      <c r="AD119" s="127" t="e">
        <f t="shared" si="33"/>
        <v>#REF!</v>
      </c>
      <c r="AE119" s="127" t="e">
        <f t="shared" si="33"/>
        <v>#REF!</v>
      </c>
      <c r="AF119" s="127" t="e">
        <f t="shared" si="33"/>
        <v>#REF!</v>
      </c>
    </row>
    <row r="120" spans="1:32" ht="16.5" hidden="1" x14ac:dyDescent="0.15">
      <c r="A120" s="84" t="s">
        <v>45</v>
      </c>
      <c r="B120" s="55">
        <f t="shared" si="34"/>
        <v>-1.6683462722032446E-5</v>
      </c>
      <c r="C120" s="55">
        <f t="shared" si="34"/>
        <v>4.523571700422961</v>
      </c>
      <c r="D120" s="55">
        <f t="shared" si="34"/>
        <v>1.3194312482385363E-3</v>
      </c>
      <c r="E120" s="55">
        <f t="shared" si="34"/>
        <v>-1.711094481396001E-3</v>
      </c>
      <c r="F120" s="55">
        <f t="shared" si="34"/>
        <v>-7.7823048568234599E-4</v>
      </c>
      <c r="G120" s="58">
        <f>H120*I120</f>
        <v>16</v>
      </c>
      <c r="H120" s="58">
        <f t="shared" ref="H120:I133" si="35">H60</f>
        <v>4</v>
      </c>
      <c r="I120" s="58">
        <f t="shared" si="35"/>
        <v>4</v>
      </c>
      <c r="J120" s="58" t="str">
        <f>B2</f>
        <v>PSL440-0404C4</v>
      </c>
      <c r="K120" s="128">
        <f t="shared" ref="K120:P133" si="36">K60</f>
        <v>12.209672396366903</v>
      </c>
      <c r="L120" s="78" t="e">
        <f t="shared" si="36"/>
        <v>#DIV/0!</v>
      </c>
      <c r="M120" s="78" t="e">
        <f t="shared" si="36"/>
        <v>#DIV/0!</v>
      </c>
      <c r="N120" s="78" t="e">
        <f t="shared" si="36"/>
        <v>#DIV/0!</v>
      </c>
      <c r="O120" s="78" t="e">
        <f t="shared" si="36"/>
        <v>#DIV/0!</v>
      </c>
      <c r="P120" s="78" t="e">
        <f t="shared" si="36"/>
        <v>#DIV/0!</v>
      </c>
      <c r="Q120" s="78" t="e">
        <f t="shared" si="33"/>
        <v>#DIV/0!</v>
      </c>
      <c r="R120" s="78" t="e">
        <f t="shared" si="33"/>
        <v>#DIV/0!</v>
      </c>
      <c r="S120" s="78" t="e">
        <f t="shared" si="33"/>
        <v>#DIV/0!</v>
      </c>
      <c r="T120" s="78" t="e">
        <f t="shared" si="33"/>
        <v>#DIV/0!</v>
      </c>
      <c r="U120" s="78" t="e">
        <f t="shared" si="33"/>
        <v>#DIV/0!</v>
      </c>
      <c r="V120" s="78" t="e">
        <f t="shared" si="33"/>
        <v>#DIV/0!</v>
      </c>
      <c r="W120" s="78" t="e">
        <f t="shared" si="33"/>
        <v>#DIV/0!</v>
      </c>
      <c r="X120" s="78" t="e">
        <f t="shared" si="33"/>
        <v>#DIV/0!</v>
      </c>
      <c r="Y120" s="78" t="e">
        <f t="shared" si="33"/>
        <v>#DIV/0!</v>
      </c>
      <c r="Z120" s="78" t="e">
        <f t="shared" si="33"/>
        <v>#DIV/0!</v>
      </c>
      <c r="AA120" s="78" t="e">
        <f t="shared" si="33"/>
        <v>#DIV/0!</v>
      </c>
      <c r="AB120" s="78">
        <f t="shared" si="33"/>
        <v>0</v>
      </c>
      <c r="AC120" s="78">
        <f t="shared" si="33"/>
        <v>0</v>
      </c>
      <c r="AD120" s="78">
        <f t="shared" si="33"/>
        <v>0</v>
      </c>
      <c r="AE120" s="78">
        <f t="shared" si="33"/>
        <v>0</v>
      </c>
      <c r="AF120" s="78">
        <f t="shared" si="33"/>
        <v>0</v>
      </c>
    </row>
    <row r="121" spans="1:32" ht="16.5" hidden="1" x14ac:dyDescent="0.15">
      <c r="A121" s="84" t="s">
        <v>46</v>
      </c>
      <c r="B121" s="55">
        <f t="shared" si="34"/>
        <v>1.5451681544888808E-2</v>
      </c>
      <c r="C121" s="55">
        <f t="shared" si="34"/>
        <v>64.700237371264251</v>
      </c>
      <c r="D121" s="55">
        <f t="shared" si="34"/>
        <v>0.91473940491849537</v>
      </c>
      <c r="E121" s="55">
        <f t="shared" si="34"/>
        <v>1.0424605867856402</v>
      </c>
      <c r="F121" s="55">
        <f t="shared" si="34"/>
        <v>1.0177728149871439</v>
      </c>
      <c r="G121" s="58">
        <f>H121*I121</f>
        <v>20</v>
      </c>
      <c r="H121" s="58">
        <f t="shared" si="35"/>
        <v>4</v>
      </c>
      <c r="I121" s="58">
        <f t="shared" si="35"/>
        <v>5</v>
      </c>
      <c r="J121" s="58" t="str">
        <f>B3</f>
        <v>PSL445-0405C4</v>
      </c>
      <c r="K121" s="128">
        <f t="shared" si="36"/>
        <v>11.488122604501358</v>
      </c>
      <c r="L121" s="78">
        <f t="shared" si="36"/>
        <v>685.84433485810314</v>
      </c>
      <c r="M121" s="78">
        <f t="shared" si="36"/>
        <v>674.9579168444825</v>
      </c>
      <c r="N121" s="78">
        <f t="shared" si="36"/>
        <v>0</v>
      </c>
      <c r="O121" s="78">
        <f t="shared" si="36"/>
        <v>0</v>
      </c>
      <c r="P121" s="78">
        <f t="shared" si="36"/>
        <v>636.85545379681002</v>
      </c>
      <c r="Q121" s="78">
        <f t="shared" si="33"/>
        <v>625.96903578318938</v>
      </c>
      <c r="R121" s="78">
        <f t="shared" si="33"/>
        <v>620.52582677637906</v>
      </c>
      <c r="S121" s="78">
        <f t="shared" si="33"/>
        <v>615.08261776956874</v>
      </c>
      <c r="T121" s="78">
        <f t="shared" si="33"/>
        <v>593.30978174232735</v>
      </c>
      <c r="U121" s="78">
        <f t="shared" si="33"/>
        <v>582.42336372870659</v>
      </c>
      <c r="V121" s="78">
        <f t="shared" si="33"/>
        <v>555.20731869465487</v>
      </c>
      <c r="W121" s="78">
        <f t="shared" si="33"/>
        <v>544.32090068103423</v>
      </c>
      <c r="X121" s="78">
        <f t="shared" si="33"/>
        <v>538.87769167422391</v>
      </c>
      <c r="Y121" s="78">
        <f t="shared" si="33"/>
        <v>506.21843763336182</v>
      </c>
      <c r="Z121" s="78">
        <f t="shared" si="33"/>
        <v>495.33201961974117</v>
      </c>
      <c r="AA121" s="78">
        <f t="shared" si="33"/>
        <v>468.11597458568946</v>
      </c>
      <c r="AB121" s="78">
        <f t="shared" si="33"/>
        <v>0</v>
      </c>
      <c r="AC121" s="78">
        <f t="shared" si="33"/>
        <v>0</v>
      </c>
      <c r="AD121" s="78">
        <f t="shared" si="33"/>
        <v>0</v>
      </c>
      <c r="AE121" s="78">
        <f t="shared" si="33"/>
        <v>0</v>
      </c>
      <c r="AF121" s="78">
        <f t="shared" si="33"/>
        <v>0</v>
      </c>
    </row>
    <row r="122" spans="1:32" ht="16.5" hidden="1" x14ac:dyDescent="0.15">
      <c r="A122" s="89" t="s">
        <v>56</v>
      </c>
      <c r="B122" s="55">
        <f>C55</f>
        <v>-4.415485981336488E-3</v>
      </c>
      <c r="C122" s="55">
        <f>D55</f>
        <v>0.29983765623438341</v>
      </c>
      <c r="D122" s="58"/>
      <c r="E122" s="55"/>
      <c r="F122" s="58"/>
      <c r="G122" s="58">
        <f t="shared" ref="G122:G133" si="37">H122*I122</f>
        <v>0</v>
      </c>
      <c r="H122" s="58">
        <f t="shared" si="35"/>
        <v>0</v>
      </c>
      <c r="I122" s="58">
        <f t="shared" si="35"/>
        <v>0</v>
      </c>
      <c r="J122" s="58" t="e">
        <f>#REF!</f>
        <v>#REF!</v>
      </c>
      <c r="K122" s="128" t="e">
        <f t="shared" si="36"/>
        <v>#REF!</v>
      </c>
      <c r="L122" s="78">
        <f t="shared" si="36"/>
        <v>0</v>
      </c>
      <c r="M122" s="78">
        <f t="shared" si="36"/>
        <v>0</v>
      </c>
      <c r="N122" s="78">
        <f t="shared" si="36"/>
        <v>0</v>
      </c>
      <c r="O122" s="78">
        <f t="shared" si="36"/>
        <v>0</v>
      </c>
      <c r="P122" s="78">
        <f t="shared" si="36"/>
        <v>0</v>
      </c>
      <c r="Q122" s="78">
        <f t="shared" si="33"/>
        <v>0</v>
      </c>
      <c r="R122" s="78">
        <f t="shared" si="33"/>
        <v>0</v>
      </c>
      <c r="S122" s="78">
        <f t="shared" si="33"/>
        <v>0</v>
      </c>
      <c r="T122" s="78">
        <f t="shared" si="33"/>
        <v>0</v>
      </c>
      <c r="U122" s="78">
        <f t="shared" si="33"/>
        <v>0</v>
      </c>
      <c r="V122" s="78">
        <f t="shared" si="33"/>
        <v>0</v>
      </c>
      <c r="W122" s="78">
        <f t="shared" si="33"/>
        <v>0</v>
      </c>
      <c r="X122" s="78">
        <f t="shared" si="33"/>
        <v>0</v>
      </c>
      <c r="Y122" s="78">
        <f t="shared" si="33"/>
        <v>0</v>
      </c>
      <c r="Z122" s="78">
        <f t="shared" si="33"/>
        <v>0</v>
      </c>
      <c r="AA122" s="78">
        <f>AA62</f>
        <v>0</v>
      </c>
      <c r="AB122" s="78">
        <f t="shared" si="33"/>
        <v>0</v>
      </c>
      <c r="AC122" s="78">
        <f t="shared" si="33"/>
        <v>0</v>
      </c>
      <c r="AD122" s="78">
        <f t="shared" si="33"/>
        <v>0</v>
      </c>
      <c r="AE122" s="78">
        <f t="shared" si="33"/>
        <v>0</v>
      </c>
      <c r="AF122" s="78">
        <f t="shared" si="33"/>
        <v>0</v>
      </c>
    </row>
    <row r="123" spans="1:32" ht="16.5" hidden="1" x14ac:dyDescent="0.15">
      <c r="A123" s="58"/>
      <c r="B123" s="58"/>
      <c r="C123" s="58"/>
      <c r="D123" s="58" t="s">
        <v>31</v>
      </c>
      <c r="E123" s="99">
        <f>Simulator!G6</f>
        <v>350</v>
      </c>
      <c r="G123" s="58">
        <f t="shared" si="37"/>
        <v>0</v>
      </c>
      <c r="H123" s="58">
        <f t="shared" si="35"/>
        <v>0</v>
      </c>
      <c r="I123" s="58">
        <f t="shared" si="35"/>
        <v>0</v>
      </c>
      <c r="J123" s="58" t="e">
        <f>#REF!</f>
        <v>#REF!</v>
      </c>
      <c r="K123" s="128" t="e">
        <f t="shared" si="36"/>
        <v>#REF!</v>
      </c>
      <c r="L123" s="78">
        <f t="shared" si="36"/>
        <v>0</v>
      </c>
      <c r="M123" s="78">
        <f t="shared" si="36"/>
        <v>0</v>
      </c>
      <c r="N123" s="78">
        <f t="shared" si="36"/>
        <v>0</v>
      </c>
      <c r="O123" s="78">
        <f t="shared" si="36"/>
        <v>0</v>
      </c>
      <c r="P123" s="78">
        <f t="shared" si="36"/>
        <v>0</v>
      </c>
      <c r="Q123" s="78">
        <f t="shared" si="33"/>
        <v>0</v>
      </c>
      <c r="R123" s="78">
        <f t="shared" si="33"/>
        <v>0</v>
      </c>
      <c r="S123" s="78">
        <f t="shared" si="33"/>
        <v>0</v>
      </c>
      <c r="T123" s="78">
        <f t="shared" si="33"/>
        <v>0</v>
      </c>
      <c r="U123" s="78">
        <f t="shared" si="33"/>
        <v>0</v>
      </c>
      <c r="V123" s="78">
        <f t="shared" si="33"/>
        <v>0</v>
      </c>
      <c r="W123" s="78">
        <f t="shared" si="33"/>
        <v>0</v>
      </c>
      <c r="X123" s="78">
        <f t="shared" si="33"/>
        <v>0</v>
      </c>
      <c r="Y123" s="78">
        <f t="shared" si="33"/>
        <v>0</v>
      </c>
      <c r="Z123" s="78">
        <f t="shared" si="33"/>
        <v>0</v>
      </c>
      <c r="AA123" s="78">
        <f t="shared" si="33"/>
        <v>0</v>
      </c>
      <c r="AB123" s="78">
        <f t="shared" si="33"/>
        <v>0</v>
      </c>
      <c r="AC123" s="78">
        <f t="shared" si="33"/>
        <v>0</v>
      </c>
      <c r="AD123" s="78">
        <f t="shared" si="33"/>
        <v>0</v>
      </c>
      <c r="AE123" s="78">
        <f t="shared" si="33"/>
        <v>0</v>
      </c>
      <c r="AF123" s="78">
        <f t="shared" si="33"/>
        <v>0</v>
      </c>
    </row>
    <row r="124" spans="1:32" ht="16.5" hidden="1" x14ac:dyDescent="0.15">
      <c r="A124" s="58"/>
      <c r="B124" s="94"/>
      <c r="C124" s="94"/>
      <c r="D124" s="58"/>
      <c r="E124" s="58"/>
      <c r="G124" s="58">
        <f t="shared" si="37"/>
        <v>0</v>
      </c>
      <c r="H124" s="58">
        <f t="shared" si="35"/>
        <v>0</v>
      </c>
      <c r="I124" s="58">
        <f t="shared" si="35"/>
        <v>0</v>
      </c>
      <c r="J124" s="58" t="e">
        <f>#REF!</f>
        <v>#REF!</v>
      </c>
      <c r="K124" s="128" t="e">
        <f t="shared" si="36"/>
        <v>#REF!</v>
      </c>
      <c r="L124" s="78">
        <f t="shared" si="36"/>
        <v>0</v>
      </c>
      <c r="M124" s="78">
        <f t="shared" si="36"/>
        <v>0</v>
      </c>
      <c r="N124" s="78">
        <f t="shared" si="36"/>
        <v>0</v>
      </c>
      <c r="O124" s="78">
        <f t="shared" si="36"/>
        <v>0</v>
      </c>
      <c r="P124" s="78">
        <f t="shared" si="36"/>
        <v>0</v>
      </c>
      <c r="Q124" s="78">
        <f t="shared" si="33"/>
        <v>0</v>
      </c>
      <c r="R124" s="78">
        <f t="shared" si="33"/>
        <v>0</v>
      </c>
      <c r="S124" s="78">
        <f t="shared" si="33"/>
        <v>0</v>
      </c>
      <c r="T124" s="78">
        <f t="shared" si="33"/>
        <v>0</v>
      </c>
      <c r="U124" s="78">
        <f t="shared" si="33"/>
        <v>0</v>
      </c>
      <c r="V124" s="78">
        <f t="shared" si="33"/>
        <v>0</v>
      </c>
      <c r="W124" s="78">
        <f t="shared" si="33"/>
        <v>0</v>
      </c>
      <c r="X124" s="78">
        <f t="shared" si="33"/>
        <v>0</v>
      </c>
      <c r="Y124" s="78">
        <f t="shared" si="33"/>
        <v>0</v>
      </c>
      <c r="Z124" s="78">
        <f t="shared" si="33"/>
        <v>0</v>
      </c>
      <c r="AA124" s="78">
        <f t="shared" si="33"/>
        <v>0</v>
      </c>
      <c r="AB124" s="78">
        <f t="shared" si="33"/>
        <v>0</v>
      </c>
      <c r="AC124" s="78">
        <f t="shared" si="33"/>
        <v>0</v>
      </c>
      <c r="AD124" s="78">
        <f t="shared" si="33"/>
        <v>0</v>
      </c>
      <c r="AE124" s="78">
        <f t="shared" si="33"/>
        <v>0</v>
      </c>
      <c r="AF124" s="78">
        <f t="shared" si="33"/>
        <v>0</v>
      </c>
    </row>
    <row r="125" spans="1:32" ht="16.5" hidden="1" x14ac:dyDescent="0.15">
      <c r="A125" s="58"/>
      <c r="B125" s="100"/>
      <c r="C125" s="76"/>
      <c r="D125" s="58" t="s">
        <v>138</v>
      </c>
      <c r="E125" s="121">
        <f>Simulator!L6</f>
        <v>25</v>
      </c>
      <c r="G125" s="58">
        <f t="shared" si="37"/>
        <v>0</v>
      </c>
      <c r="H125" s="58">
        <f t="shared" si="35"/>
        <v>0</v>
      </c>
      <c r="I125" s="58">
        <f t="shared" si="35"/>
        <v>0</v>
      </c>
      <c r="J125" s="58" t="e">
        <f>#REF!</f>
        <v>#REF!</v>
      </c>
      <c r="K125" s="128" t="e">
        <f t="shared" si="36"/>
        <v>#REF!</v>
      </c>
      <c r="L125" s="78">
        <f t="shared" si="36"/>
        <v>0</v>
      </c>
      <c r="M125" s="78">
        <f t="shared" si="36"/>
        <v>0</v>
      </c>
      <c r="N125" s="78">
        <f t="shared" si="36"/>
        <v>0</v>
      </c>
      <c r="O125" s="78">
        <f t="shared" si="36"/>
        <v>0</v>
      </c>
      <c r="P125" s="78">
        <f t="shared" si="36"/>
        <v>0</v>
      </c>
      <c r="Q125" s="78">
        <f t="shared" si="33"/>
        <v>0</v>
      </c>
      <c r="R125" s="78">
        <f t="shared" si="33"/>
        <v>0</v>
      </c>
      <c r="S125" s="78">
        <f t="shared" si="33"/>
        <v>0</v>
      </c>
      <c r="T125" s="78">
        <f t="shared" si="33"/>
        <v>0</v>
      </c>
      <c r="U125" s="78">
        <f t="shared" si="33"/>
        <v>0</v>
      </c>
      <c r="V125" s="78">
        <f t="shared" si="33"/>
        <v>0</v>
      </c>
      <c r="W125" s="78">
        <f t="shared" si="33"/>
        <v>0</v>
      </c>
      <c r="X125" s="78">
        <f t="shared" si="33"/>
        <v>0</v>
      </c>
      <c r="Y125" s="78">
        <f t="shared" si="33"/>
        <v>0</v>
      </c>
      <c r="Z125" s="78">
        <f t="shared" si="33"/>
        <v>0</v>
      </c>
      <c r="AA125" s="78">
        <f t="shared" si="33"/>
        <v>0</v>
      </c>
      <c r="AB125" s="78">
        <f t="shared" si="33"/>
        <v>0</v>
      </c>
      <c r="AC125" s="78">
        <f t="shared" si="33"/>
        <v>0</v>
      </c>
      <c r="AD125" s="78">
        <f t="shared" si="33"/>
        <v>0</v>
      </c>
      <c r="AE125" s="78">
        <f t="shared" si="33"/>
        <v>0</v>
      </c>
      <c r="AF125" s="78">
        <f t="shared" si="33"/>
        <v>0</v>
      </c>
    </row>
    <row r="126" spans="1:32" ht="16.5" hidden="1" x14ac:dyDescent="0.15">
      <c r="A126" s="58"/>
      <c r="B126" s="58"/>
      <c r="C126" s="58"/>
      <c r="D126" s="58"/>
      <c r="E126" s="58"/>
      <c r="G126" s="58">
        <f t="shared" si="37"/>
        <v>0</v>
      </c>
      <c r="H126" s="58">
        <f t="shared" si="35"/>
        <v>0</v>
      </c>
      <c r="I126" s="58">
        <f t="shared" si="35"/>
        <v>0</v>
      </c>
      <c r="J126" s="58" t="e">
        <f>#REF!</f>
        <v>#REF!</v>
      </c>
      <c r="K126" s="128" t="e">
        <f t="shared" si="36"/>
        <v>#REF!</v>
      </c>
      <c r="L126" s="78">
        <f t="shared" si="36"/>
        <v>0</v>
      </c>
      <c r="M126" s="78">
        <f t="shared" si="36"/>
        <v>0</v>
      </c>
      <c r="N126" s="78">
        <f t="shared" si="36"/>
        <v>0</v>
      </c>
      <c r="O126" s="78">
        <f t="shared" si="36"/>
        <v>0</v>
      </c>
      <c r="P126" s="78">
        <f t="shared" si="36"/>
        <v>0</v>
      </c>
      <c r="Q126" s="78">
        <f t="shared" si="33"/>
        <v>0</v>
      </c>
      <c r="R126" s="78">
        <f t="shared" si="33"/>
        <v>0</v>
      </c>
      <c r="S126" s="78">
        <f t="shared" si="33"/>
        <v>0</v>
      </c>
      <c r="T126" s="78">
        <f t="shared" si="33"/>
        <v>0</v>
      </c>
      <c r="U126" s="78">
        <f t="shared" si="33"/>
        <v>0</v>
      </c>
      <c r="V126" s="78">
        <f t="shared" si="33"/>
        <v>0</v>
      </c>
      <c r="W126" s="78">
        <f t="shared" si="33"/>
        <v>0</v>
      </c>
      <c r="X126" s="78">
        <f t="shared" si="33"/>
        <v>0</v>
      </c>
      <c r="Y126" s="78">
        <f t="shared" si="33"/>
        <v>0</v>
      </c>
      <c r="Z126" s="78">
        <f t="shared" si="33"/>
        <v>0</v>
      </c>
      <c r="AA126" s="78">
        <f t="shared" si="33"/>
        <v>0</v>
      </c>
      <c r="AB126" s="78">
        <f t="shared" si="33"/>
        <v>0</v>
      </c>
      <c r="AC126" s="78">
        <f t="shared" si="33"/>
        <v>0</v>
      </c>
      <c r="AD126" s="78">
        <f t="shared" si="33"/>
        <v>0</v>
      </c>
      <c r="AE126" s="78">
        <f t="shared" si="33"/>
        <v>0</v>
      </c>
      <c r="AF126" s="78">
        <f t="shared" si="33"/>
        <v>0</v>
      </c>
    </row>
    <row r="127" spans="1:32" ht="16.5" hidden="1" x14ac:dyDescent="0.15">
      <c r="A127" s="58"/>
      <c r="B127" s="58"/>
      <c r="C127" s="59"/>
      <c r="G127" s="58">
        <f t="shared" si="37"/>
        <v>0</v>
      </c>
      <c r="H127" s="58">
        <f t="shared" si="35"/>
        <v>0</v>
      </c>
      <c r="I127" s="58">
        <f t="shared" si="35"/>
        <v>0</v>
      </c>
      <c r="J127" s="58" t="e">
        <f>#REF!</f>
        <v>#REF!</v>
      </c>
      <c r="K127" s="128" t="e">
        <f t="shared" si="36"/>
        <v>#REF!</v>
      </c>
      <c r="L127" s="78">
        <f t="shared" si="36"/>
        <v>0</v>
      </c>
      <c r="M127" s="78">
        <f t="shared" si="36"/>
        <v>0</v>
      </c>
      <c r="N127" s="78">
        <f t="shared" si="36"/>
        <v>0</v>
      </c>
      <c r="O127" s="78">
        <f t="shared" si="36"/>
        <v>0</v>
      </c>
      <c r="P127" s="78">
        <f t="shared" si="36"/>
        <v>0</v>
      </c>
      <c r="Q127" s="78">
        <f t="shared" si="33"/>
        <v>0</v>
      </c>
      <c r="R127" s="78">
        <f t="shared" si="33"/>
        <v>0</v>
      </c>
      <c r="S127" s="78">
        <f t="shared" si="33"/>
        <v>0</v>
      </c>
      <c r="T127" s="78">
        <f t="shared" si="33"/>
        <v>0</v>
      </c>
      <c r="U127" s="78">
        <f t="shared" si="33"/>
        <v>0</v>
      </c>
      <c r="V127" s="78">
        <f t="shared" si="33"/>
        <v>0</v>
      </c>
      <c r="W127" s="78">
        <f t="shared" si="33"/>
        <v>0</v>
      </c>
      <c r="X127" s="78">
        <f t="shared" si="33"/>
        <v>0</v>
      </c>
      <c r="Y127" s="78">
        <f t="shared" si="33"/>
        <v>0</v>
      </c>
      <c r="Z127" s="78">
        <f t="shared" si="33"/>
        <v>0</v>
      </c>
      <c r="AA127" s="78">
        <f t="shared" si="33"/>
        <v>0</v>
      </c>
      <c r="AB127" s="78">
        <f t="shared" si="33"/>
        <v>0</v>
      </c>
      <c r="AC127" s="78">
        <f t="shared" si="33"/>
        <v>0</v>
      </c>
      <c r="AD127" s="78">
        <f t="shared" si="33"/>
        <v>0</v>
      </c>
      <c r="AE127" s="78">
        <f t="shared" si="33"/>
        <v>0</v>
      </c>
      <c r="AF127" s="78">
        <f t="shared" si="33"/>
        <v>0</v>
      </c>
    </row>
    <row r="128" spans="1:32" ht="16.5" hidden="1" x14ac:dyDescent="0.15">
      <c r="A128" s="84"/>
      <c r="B128" s="84"/>
      <c r="C128" s="84"/>
      <c r="D128" s="89"/>
      <c r="E128" s="89"/>
      <c r="F128" s="89"/>
      <c r="G128" s="58">
        <f t="shared" si="37"/>
        <v>0</v>
      </c>
      <c r="H128" s="58">
        <f t="shared" si="35"/>
        <v>0</v>
      </c>
      <c r="I128" s="58">
        <f t="shared" si="35"/>
        <v>0</v>
      </c>
      <c r="J128" s="58" t="e">
        <f>#REF!</f>
        <v>#REF!</v>
      </c>
      <c r="K128" s="128" t="e">
        <f t="shared" si="36"/>
        <v>#REF!</v>
      </c>
      <c r="L128" s="78">
        <f t="shared" si="36"/>
        <v>0</v>
      </c>
      <c r="M128" s="78">
        <f t="shared" si="36"/>
        <v>0</v>
      </c>
      <c r="N128" s="78">
        <f t="shared" si="36"/>
        <v>0</v>
      </c>
      <c r="O128" s="78">
        <f t="shared" si="36"/>
        <v>0</v>
      </c>
      <c r="P128" s="78">
        <f t="shared" si="36"/>
        <v>0</v>
      </c>
      <c r="Q128" s="78">
        <f t="shared" si="33"/>
        <v>0</v>
      </c>
      <c r="R128" s="78">
        <f t="shared" si="33"/>
        <v>0</v>
      </c>
      <c r="S128" s="78">
        <f t="shared" si="33"/>
        <v>0</v>
      </c>
      <c r="T128" s="78">
        <f t="shared" si="33"/>
        <v>0</v>
      </c>
      <c r="U128" s="78">
        <f t="shared" si="33"/>
        <v>0</v>
      </c>
      <c r="V128" s="78">
        <f t="shared" si="33"/>
        <v>0</v>
      </c>
      <c r="W128" s="78">
        <f t="shared" si="33"/>
        <v>0</v>
      </c>
      <c r="X128" s="78">
        <f t="shared" si="33"/>
        <v>0</v>
      </c>
      <c r="Y128" s="78">
        <f t="shared" si="33"/>
        <v>0</v>
      </c>
      <c r="Z128" s="78">
        <f t="shared" si="33"/>
        <v>0</v>
      </c>
      <c r="AA128" s="78">
        <f t="shared" si="33"/>
        <v>0</v>
      </c>
      <c r="AB128" s="78">
        <f t="shared" si="33"/>
        <v>0</v>
      </c>
      <c r="AC128" s="78">
        <f t="shared" si="33"/>
        <v>0</v>
      </c>
      <c r="AD128" s="78">
        <f t="shared" si="33"/>
        <v>0</v>
      </c>
      <c r="AE128" s="78">
        <f t="shared" si="33"/>
        <v>0</v>
      </c>
      <c r="AF128" s="78">
        <f t="shared" si="33"/>
        <v>0</v>
      </c>
    </row>
    <row r="129" spans="1:32" ht="16.5" hidden="1" x14ac:dyDescent="0.15">
      <c r="A129" s="84"/>
      <c r="B129" s="84"/>
      <c r="C129" s="84"/>
      <c r="D129" s="89"/>
      <c r="E129" s="89"/>
      <c r="F129" s="89"/>
      <c r="G129" s="58">
        <f t="shared" si="37"/>
        <v>0</v>
      </c>
      <c r="H129" s="58">
        <f t="shared" si="35"/>
        <v>0</v>
      </c>
      <c r="I129" s="58">
        <f t="shared" si="35"/>
        <v>0</v>
      </c>
      <c r="J129" s="58" t="e">
        <f>#REF!</f>
        <v>#REF!</v>
      </c>
      <c r="K129" s="128" t="e">
        <f>K69</f>
        <v>#REF!</v>
      </c>
      <c r="L129" s="78">
        <f t="shared" si="36"/>
        <v>0</v>
      </c>
      <c r="M129" s="78">
        <f t="shared" si="36"/>
        <v>0</v>
      </c>
      <c r="N129" s="78">
        <f t="shared" si="36"/>
        <v>0</v>
      </c>
      <c r="O129" s="78">
        <f t="shared" si="36"/>
        <v>0</v>
      </c>
      <c r="P129" s="78">
        <f t="shared" si="36"/>
        <v>0</v>
      </c>
      <c r="Q129" s="78">
        <f t="shared" si="33"/>
        <v>0</v>
      </c>
      <c r="R129" s="78">
        <f t="shared" si="33"/>
        <v>0</v>
      </c>
      <c r="S129" s="78">
        <f t="shared" si="33"/>
        <v>0</v>
      </c>
      <c r="T129" s="78">
        <f t="shared" si="33"/>
        <v>0</v>
      </c>
      <c r="U129" s="78">
        <f t="shared" si="33"/>
        <v>0</v>
      </c>
      <c r="V129" s="78">
        <f t="shared" si="33"/>
        <v>0</v>
      </c>
      <c r="W129" s="78">
        <f t="shared" si="33"/>
        <v>0</v>
      </c>
      <c r="X129" s="78">
        <f t="shared" si="33"/>
        <v>0</v>
      </c>
      <c r="Y129" s="78">
        <f t="shared" si="33"/>
        <v>0</v>
      </c>
      <c r="Z129" s="78">
        <f t="shared" si="33"/>
        <v>0</v>
      </c>
      <c r="AA129" s="78">
        <f t="shared" si="33"/>
        <v>0</v>
      </c>
      <c r="AB129" s="78">
        <f t="shared" si="33"/>
        <v>0</v>
      </c>
      <c r="AC129" s="78">
        <f t="shared" si="33"/>
        <v>0</v>
      </c>
      <c r="AD129" s="78">
        <f t="shared" si="33"/>
        <v>0</v>
      </c>
      <c r="AE129" s="78">
        <f t="shared" si="33"/>
        <v>0</v>
      </c>
      <c r="AF129" s="78">
        <f t="shared" si="33"/>
        <v>0</v>
      </c>
    </row>
    <row r="130" spans="1:32" ht="16.5" hidden="1" x14ac:dyDescent="0.15">
      <c r="G130" s="58">
        <f t="shared" si="37"/>
        <v>0</v>
      </c>
      <c r="H130" s="58">
        <f t="shared" si="35"/>
        <v>0</v>
      </c>
      <c r="I130" s="58">
        <f t="shared" si="35"/>
        <v>0</v>
      </c>
      <c r="J130" s="58" t="e">
        <f>#REF!</f>
        <v>#REF!</v>
      </c>
      <c r="K130" s="128" t="e">
        <f>K70</f>
        <v>#REF!</v>
      </c>
      <c r="L130" s="78">
        <f t="shared" si="36"/>
        <v>0</v>
      </c>
      <c r="M130" s="78">
        <f t="shared" si="36"/>
        <v>0</v>
      </c>
      <c r="N130" s="78">
        <f t="shared" si="36"/>
        <v>0</v>
      </c>
      <c r="O130" s="78">
        <f t="shared" si="36"/>
        <v>0</v>
      </c>
      <c r="P130" s="78">
        <f t="shared" si="36"/>
        <v>0</v>
      </c>
      <c r="Q130" s="78">
        <f t="shared" si="33"/>
        <v>0</v>
      </c>
      <c r="R130" s="78">
        <f t="shared" si="33"/>
        <v>0</v>
      </c>
      <c r="S130" s="78">
        <f t="shared" si="33"/>
        <v>0</v>
      </c>
      <c r="T130" s="78">
        <f t="shared" si="33"/>
        <v>0</v>
      </c>
      <c r="U130" s="78">
        <f t="shared" si="33"/>
        <v>0</v>
      </c>
      <c r="V130" s="78">
        <f t="shared" si="33"/>
        <v>0</v>
      </c>
      <c r="W130" s="78">
        <f t="shared" si="33"/>
        <v>0</v>
      </c>
      <c r="X130" s="78">
        <f t="shared" si="33"/>
        <v>0</v>
      </c>
      <c r="Y130" s="78">
        <f t="shared" si="33"/>
        <v>0</v>
      </c>
      <c r="Z130" s="78">
        <f t="shared" si="33"/>
        <v>0</v>
      </c>
      <c r="AA130" s="78">
        <f t="shared" si="33"/>
        <v>0</v>
      </c>
      <c r="AB130" s="78">
        <f t="shared" si="33"/>
        <v>0</v>
      </c>
      <c r="AC130" s="78">
        <f t="shared" si="33"/>
        <v>0</v>
      </c>
      <c r="AD130" s="78">
        <f t="shared" si="33"/>
        <v>0</v>
      </c>
      <c r="AE130" s="78">
        <f t="shared" si="33"/>
        <v>0</v>
      </c>
      <c r="AF130" s="78">
        <f t="shared" si="33"/>
        <v>0</v>
      </c>
    </row>
    <row r="131" spans="1:32" ht="16.5" hidden="1" x14ac:dyDescent="0.15">
      <c r="A131" s="89"/>
      <c r="B131" s="113"/>
      <c r="C131" s="113"/>
      <c r="D131" s="113"/>
      <c r="E131" s="113"/>
      <c r="F131" s="113"/>
      <c r="G131" s="58">
        <f t="shared" si="37"/>
        <v>0</v>
      </c>
      <c r="H131" s="58">
        <f t="shared" si="35"/>
        <v>0</v>
      </c>
      <c r="I131" s="58">
        <f t="shared" si="35"/>
        <v>0</v>
      </c>
      <c r="J131" s="58" t="e">
        <f>#REF!</f>
        <v>#REF!</v>
      </c>
      <c r="K131" s="128" t="e">
        <f>K71</f>
        <v>#REF!</v>
      </c>
      <c r="L131" s="78">
        <f t="shared" si="36"/>
        <v>0</v>
      </c>
      <c r="M131" s="78">
        <f t="shared" si="36"/>
        <v>0</v>
      </c>
      <c r="N131" s="78">
        <f t="shared" si="36"/>
        <v>0</v>
      </c>
      <c r="O131" s="78">
        <f t="shared" si="36"/>
        <v>0</v>
      </c>
      <c r="P131" s="78">
        <f t="shared" si="36"/>
        <v>0</v>
      </c>
      <c r="Q131" s="78">
        <f t="shared" si="33"/>
        <v>0</v>
      </c>
      <c r="R131" s="78">
        <f t="shared" si="33"/>
        <v>0</v>
      </c>
      <c r="S131" s="78">
        <f t="shared" si="33"/>
        <v>0</v>
      </c>
      <c r="T131" s="78">
        <f t="shared" si="33"/>
        <v>0</v>
      </c>
      <c r="U131" s="78">
        <f t="shared" si="33"/>
        <v>0</v>
      </c>
      <c r="V131" s="78">
        <f t="shared" si="33"/>
        <v>0</v>
      </c>
      <c r="W131" s="78">
        <f t="shared" si="33"/>
        <v>0</v>
      </c>
      <c r="X131" s="78">
        <f t="shared" si="33"/>
        <v>0</v>
      </c>
      <c r="Y131" s="78">
        <f t="shared" si="33"/>
        <v>0</v>
      </c>
      <c r="Z131" s="78">
        <f t="shared" si="33"/>
        <v>0</v>
      </c>
      <c r="AA131" s="78">
        <f t="shared" si="33"/>
        <v>0</v>
      </c>
      <c r="AB131" s="78">
        <f t="shared" si="33"/>
        <v>0</v>
      </c>
      <c r="AC131" s="78">
        <f t="shared" si="33"/>
        <v>0</v>
      </c>
      <c r="AD131" s="78">
        <f t="shared" si="33"/>
        <v>0</v>
      </c>
      <c r="AE131" s="78">
        <f t="shared" si="33"/>
        <v>0</v>
      </c>
      <c r="AF131" s="78">
        <f t="shared" si="33"/>
        <v>0</v>
      </c>
    </row>
    <row r="132" spans="1:32" ht="16.5" hidden="1" x14ac:dyDescent="0.15">
      <c r="A132" s="89"/>
      <c r="B132" s="113"/>
      <c r="C132" s="113"/>
      <c r="D132" s="113"/>
      <c r="E132" s="113"/>
      <c r="F132" s="113"/>
      <c r="G132" s="58">
        <f t="shared" si="37"/>
        <v>0</v>
      </c>
      <c r="H132" s="58">
        <f t="shared" si="35"/>
        <v>0</v>
      </c>
      <c r="I132" s="58">
        <f t="shared" si="35"/>
        <v>0</v>
      </c>
      <c r="J132" s="58" t="e">
        <f>#REF!</f>
        <v>#REF!</v>
      </c>
      <c r="K132" s="129" t="e">
        <f>K72</f>
        <v>#REF!</v>
      </c>
      <c r="L132" s="78">
        <f t="shared" si="36"/>
        <v>0</v>
      </c>
      <c r="M132" s="78">
        <f t="shared" si="36"/>
        <v>0</v>
      </c>
      <c r="N132" s="78">
        <f t="shared" si="36"/>
        <v>0</v>
      </c>
      <c r="O132" s="78">
        <f t="shared" si="36"/>
        <v>0</v>
      </c>
      <c r="P132" s="78">
        <f t="shared" si="36"/>
        <v>0</v>
      </c>
      <c r="Q132" s="78">
        <f t="shared" si="33"/>
        <v>0</v>
      </c>
      <c r="R132" s="78">
        <f t="shared" si="33"/>
        <v>0</v>
      </c>
      <c r="S132" s="78">
        <f t="shared" si="33"/>
        <v>0</v>
      </c>
      <c r="T132" s="78">
        <f t="shared" si="33"/>
        <v>0</v>
      </c>
      <c r="U132" s="78">
        <f t="shared" si="33"/>
        <v>0</v>
      </c>
      <c r="V132" s="78">
        <f t="shared" si="33"/>
        <v>0</v>
      </c>
      <c r="W132" s="78">
        <f t="shared" si="33"/>
        <v>0</v>
      </c>
      <c r="X132" s="78">
        <f t="shared" si="33"/>
        <v>0</v>
      </c>
      <c r="Y132" s="78">
        <f t="shared" si="33"/>
        <v>0</v>
      </c>
      <c r="Z132" s="78">
        <f t="shared" si="33"/>
        <v>0</v>
      </c>
      <c r="AA132" s="78">
        <f t="shared" si="33"/>
        <v>0</v>
      </c>
      <c r="AB132" s="78">
        <f t="shared" si="33"/>
        <v>0</v>
      </c>
      <c r="AC132" s="78">
        <f t="shared" si="33"/>
        <v>0</v>
      </c>
      <c r="AD132" s="78">
        <f t="shared" si="33"/>
        <v>0</v>
      </c>
      <c r="AE132" s="78">
        <f t="shared" si="33"/>
        <v>0</v>
      </c>
      <c r="AF132" s="78">
        <f t="shared" si="33"/>
        <v>0</v>
      </c>
    </row>
    <row r="133" spans="1:32" ht="16.5" hidden="1" x14ac:dyDescent="0.15">
      <c r="A133" s="89"/>
      <c r="B133" s="113"/>
      <c r="C133" s="113"/>
      <c r="D133" s="113"/>
      <c r="E133" s="113"/>
      <c r="F133" s="113"/>
      <c r="G133" s="58">
        <f t="shared" si="37"/>
        <v>0</v>
      </c>
      <c r="H133" s="58">
        <f t="shared" si="35"/>
        <v>0</v>
      </c>
      <c r="I133" s="58">
        <f t="shared" si="35"/>
        <v>0</v>
      </c>
      <c r="J133" s="58" t="e">
        <f>#REF!</f>
        <v>#REF!</v>
      </c>
      <c r="K133" s="128" t="e">
        <f>K73</f>
        <v>#REF!</v>
      </c>
      <c r="L133" s="78">
        <f t="shared" si="36"/>
        <v>0</v>
      </c>
      <c r="M133" s="78">
        <f t="shared" si="36"/>
        <v>0</v>
      </c>
      <c r="N133" s="78">
        <f t="shared" si="36"/>
        <v>0</v>
      </c>
      <c r="O133" s="78">
        <f t="shared" si="36"/>
        <v>0</v>
      </c>
      <c r="P133" s="78">
        <f t="shared" si="36"/>
        <v>0</v>
      </c>
      <c r="Q133" s="78">
        <f t="shared" si="33"/>
        <v>0</v>
      </c>
      <c r="R133" s="78">
        <f t="shared" si="33"/>
        <v>0</v>
      </c>
      <c r="S133" s="78">
        <f t="shared" si="33"/>
        <v>0</v>
      </c>
      <c r="T133" s="78">
        <f t="shared" si="33"/>
        <v>0</v>
      </c>
      <c r="U133" s="78">
        <f t="shared" si="33"/>
        <v>0</v>
      </c>
      <c r="V133" s="78">
        <f t="shared" si="33"/>
        <v>0</v>
      </c>
      <c r="W133" s="78">
        <f t="shared" si="33"/>
        <v>0</v>
      </c>
      <c r="X133" s="78">
        <f t="shared" si="33"/>
        <v>0</v>
      </c>
      <c r="Y133" s="78">
        <f t="shared" ref="Y133:AF133" si="38">Y73</f>
        <v>0</v>
      </c>
      <c r="Z133" s="78">
        <f t="shared" si="38"/>
        <v>0</v>
      </c>
      <c r="AA133" s="78">
        <f t="shared" si="38"/>
        <v>0</v>
      </c>
      <c r="AB133" s="78">
        <f t="shared" si="38"/>
        <v>0</v>
      </c>
      <c r="AC133" s="78">
        <f t="shared" si="38"/>
        <v>0</v>
      </c>
      <c r="AD133" s="78">
        <f t="shared" si="38"/>
        <v>0</v>
      </c>
      <c r="AE133" s="78">
        <f t="shared" si="38"/>
        <v>0</v>
      </c>
      <c r="AF133" s="78">
        <f t="shared" si="38"/>
        <v>0</v>
      </c>
    </row>
    <row r="134" spans="1:32" ht="16.5" hidden="1" x14ac:dyDescent="0.15">
      <c r="A134" s="89"/>
      <c r="B134" s="113"/>
      <c r="C134" s="113"/>
      <c r="D134" s="113"/>
      <c r="E134" s="113"/>
      <c r="F134" s="113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</row>
    <row r="135" spans="1:32" ht="16.5" hidden="1" x14ac:dyDescent="0.15">
      <c r="A135" s="89"/>
      <c r="B135" s="113"/>
      <c r="C135" s="113"/>
      <c r="D135" s="113"/>
      <c r="E135" s="113"/>
      <c r="F135" s="113"/>
      <c r="G135" s="58"/>
      <c r="H135" s="58"/>
      <c r="I135" s="58"/>
      <c r="J135" s="58"/>
      <c r="K135" s="58"/>
      <c r="L135" s="58"/>
      <c r="M135" s="58"/>
      <c r="N135" s="58"/>
      <c r="O135" s="58"/>
      <c r="P135" s="95">
        <v>0.92</v>
      </c>
      <c r="Q135" s="95">
        <v>1.08</v>
      </c>
      <c r="R135" s="58"/>
      <c r="S135" s="58"/>
      <c r="T135" s="58"/>
      <c r="U135" s="58"/>
      <c r="V135" s="58"/>
      <c r="W135" s="58"/>
    </row>
    <row r="136" spans="1:32" ht="16.5" hidden="1" x14ac:dyDescent="0.15">
      <c r="A136" s="89"/>
      <c r="B136" s="113"/>
      <c r="C136" s="113"/>
      <c r="D136" s="58"/>
      <c r="E136" s="58"/>
      <c r="G136" s="58"/>
      <c r="H136" s="58" t="s">
        <v>48</v>
      </c>
      <c r="I136" s="58"/>
      <c r="J136" s="58"/>
      <c r="K136" s="89" t="str">
        <f>HLOOKUP(Simulator!$C$6,Calculation_445!L$118:X$133,2,FALSE)</f>
        <v>5000K,70Min</v>
      </c>
      <c r="L136" s="89" t="s">
        <v>50</v>
      </c>
      <c r="M136" s="89" t="s">
        <v>28</v>
      </c>
      <c r="N136" s="106" t="s">
        <v>144</v>
      </c>
      <c r="O136" s="89" t="s">
        <v>66</v>
      </c>
      <c r="P136" s="105" t="s">
        <v>62</v>
      </c>
      <c r="Q136" s="105" t="s">
        <v>64</v>
      </c>
      <c r="R136" s="106" t="s">
        <v>140</v>
      </c>
      <c r="S136" s="104" t="s">
        <v>33</v>
      </c>
      <c r="T136" s="104"/>
      <c r="U136" s="104" t="s">
        <v>27</v>
      </c>
      <c r="V136" s="89" t="s">
        <v>141</v>
      </c>
      <c r="W136" s="89" t="s">
        <v>142</v>
      </c>
      <c r="X136" s="104" t="s">
        <v>8</v>
      </c>
      <c r="Y136" s="58"/>
    </row>
    <row r="137" spans="1:32" ht="16.5" hidden="1" x14ac:dyDescent="0.15">
      <c r="A137" s="89"/>
      <c r="B137" s="113"/>
      <c r="C137" s="113"/>
      <c r="D137" s="58"/>
      <c r="E137" s="58"/>
      <c r="G137" s="58"/>
      <c r="H137" s="100" t="e">
        <f t="shared" ref="H137:H150" si="39">K137/G120</f>
        <v>#DIV/0!</v>
      </c>
      <c r="I137" s="58"/>
      <c r="J137" s="58" t="str">
        <f>B2</f>
        <v>PSL440-0404C4</v>
      </c>
      <c r="K137" s="107" t="e">
        <f>HLOOKUP(Simulator!$C$6,Calculation_445!L$118:AF$133,3,FALSE)</f>
        <v>#DIV/0!</v>
      </c>
      <c r="L137" s="109">
        <f t="shared" ref="L137:L150" si="40">E$123/I120</f>
        <v>87.5</v>
      </c>
      <c r="M137" s="109" t="e">
        <f>(B$119*$L137^3+B$120*$L137^2+B$121*$L137+B$122)*K137</f>
        <v>#DIV/0!</v>
      </c>
      <c r="N137" s="111" t="e">
        <f t="shared" ref="N137:N150" si="41">($E$119*$E$125^2+$E$120*$E$125+$E$121)*M137</f>
        <v>#DIV/0!</v>
      </c>
      <c r="O137" s="109">
        <f t="shared" ref="O137:O150" si="42">(D$119*$L137^2+D$120*$L137+D$121)*K120</f>
        <v>12.442834724910496</v>
      </c>
      <c r="P137" s="110">
        <f>R137*$P$135</f>
        <v>11.447407946917657</v>
      </c>
      <c r="Q137" s="110">
        <f>R137*$Q$135</f>
        <v>13.438261502903336</v>
      </c>
      <c r="R137" s="111">
        <f>(F$119*$E$125^2+F$120*$E$125+F$121)*O137</f>
        <v>12.442834724910496</v>
      </c>
      <c r="S137" s="112">
        <f>(L137*I60)*R137/1000</f>
        <v>4.3549921537186735</v>
      </c>
      <c r="T137" s="112"/>
      <c r="U137" s="112" t="e">
        <f t="shared" ref="U137:U150" si="43">N137/S137</f>
        <v>#DIV/0!</v>
      </c>
      <c r="V137" s="58">
        <f t="shared" ref="V137:V150" si="44">V77</f>
        <v>3.5</v>
      </c>
      <c r="W137" s="100">
        <f t="shared" ref="W137:W150" si="45">S137*V137</f>
        <v>15.242472538015358</v>
      </c>
      <c r="X137" s="112">
        <f t="shared" ref="X137:X150" si="46">E$125+W137</f>
        <v>40.242472538015356</v>
      </c>
      <c r="Y137" s="58"/>
    </row>
    <row r="138" spans="1:32" ht="16.5" hidden="1" x14ac:dyDescent="0.15">
      <c r="A138" s="58"/>
      <c r="B138" s="58"/>
      <c r="C138" s="58"/>
      <c r="D138" s="58"/>
      <c r="E138" s="99"/>
      <c r="G138" s="58"/>
      <c r="H138" s="100">
        <f t="shared" si="39"/>
        <v>34.292216742905154</v>
      </c>
      <c r="I138" s="58"/>
      <c r="J138" s="58" t="str">
        <f>B3</f>
        <v>PSL445-0405C4</v>
      </c>
      <c r="K138" s="107">
        <f>HLOOKUP(Simulator!$C$6,Calculation_445!L$118:AF$133,4,FALSE)</f>
        <v>685.84433485810314</v>
      </c>
      <c r="L138" s="109">
        <f t="shared" si="40"/>
        <v>70</v>
      </c>
      <c r="M138" s="109">
        <f t="shared" ref="M138:M150" si="47">(B$119*$L138^3+B$120*$L138^2+B$121*$L138+B$122)*K138</f>
        <v>685.84433485810302</v>
      </c>
      <c r="N138" s="111">
        <f t="shared" si="41"/>
        <v>685.84433485810302</v>
      </c>
      <c r="O138" s="109">
        <f t="shared" si="42"/>
        <v>11.488122604501358</v>
      </c>
      <c r="P138" s="110">
        <f t="shared" ref="P138:P150" si="48">R138*$P$135</f>
        <v>10.569072796141249</v>
      </c>
      <c r="Q138" s="110">
        <f t="shared" ref="Q138:Q150" si="49">R138*$Q$135</f>
        <v>12.407172412861467</v>
      </c>
      <c r="R138" s="111">
        <f t="shared" ref="R138:R150" si="50">(F$119*$E$125^2+F$120*$E$125+F$121)*O138</f>
        <v>11.488122604501358</v>
      </c>
      <c r="S138" s="112">
        <f t="shared" ref="S138:S150" si="51">(L138*I61)*R138/1000</f>
        <v>4.0208429115754756</v>
      </c>
      <c r="T138" s="112"/>
      <c r="U138" s="112">
        <f t="shared" si="43"/>
        <v>170.57227798769452</v>
      </c>
      <c r="V138" s="58">
        <f t="shared" si="44"/>
        <v>2.8</v>
      </c>
      <c r="W138" s="100">
        <f t="shared" si="45"/>
        <v>11.258360152411331</v>
      </c>
      <c r="X138" s="112">
        <f t="shared" si="46"/>
        <v>36.258360152411328</v>
      </c>
      <c r="Y138" s="58"/>
    </row>
    <row r="139" spans="1:32" ht="16.5" hidden="1" x14ac:dyDescent="0.15">
      <c r="A139" s="58"/>
      <c r="B139" s="94"/>
      <c r="C139" s="94"/>
      <c r="D139" s="58"/>
      <c r="E139" s="58"/>
      <c r="G139" s="58"/>
      <c r="H139" s="100" t="e">
        <f t="shared" si="39"/>
        <v>#DIV/0!</v>
      </c>
      <c r="I139" s="58"/>
      <c r="J139" s="58" t="e">
        <f>#REF!</f>
        <v>#REF!</v>
      </c>
      <c r="K139" s="107">
        <f>HLOOKUP(Simulator!$C$6,Calculation_445!L$118:AF$133,5,FALSE)</f>
        <v>0</v>
      </c>
      <c r="L139" s="109" t="e">
        <f t="shared" si="40"/>
        <v>#DIV/0!</v>
      </c>
      <c r="M139" s="109" t="e">
        <f t="shared" si="47"/>
        <v>#DIV/0!</v>
      </c>
      <c r="N139" s="111" t="e">
        <f t="shared" si="41"/>
        <v>#DIV/0!</v>
      </c>
      <c r="O139" s="109" t="e">
        <f t="shared" si="42"/>
        <v>#DIV/0!</v>
      </c>
      <c r="P139" s="110" t="e">
        <f t="shared" si="48"/>
        <v>#DIV/0!</v>
      </c>
      <c r="Q139" s="110" t="e">
        <f t="shared" si="49"/>
        <v>#DIV/0!</v>
      </c>
      <c r="R139" s="111" t="e">
        <f t="shared" si="50"/>
        <v>#DIV/0!</v>
      </c>
      <c r="S139" s="112" t="e">
        <f t="shared" si="51"/>
        <v>#DIV/0!</v>
      </c>
      <c r="T139" s="112"/>
      <c r="U139" s="112" t="e">
        <f t="shared" si="43"/>
        <v>#DIV/0!</v>
      </c>
      <c r="V139" s="58">
        <f t="shared" si="44"/>
        <v>0</v>
      </c>
      <c r="W139" s="100" t="e">
        <f t="shared" si="45"/>
        <v>#DIV/0!</v>
      </c>
      <c r="X139" s="112" t="e">
        <f t="shared" si="46"/>
        <v>#DIV/0!</v>
      </c>
      <c r="Y139" s="58"/>
    </row>
    <row r="140" spans="1:32" ht="16.5" hidden="1" x14ac:dyDescent="0.15">
      <c r="A140" s="58"/>
      <c r="B140" s="100"/>
      <c r="C140" s="120"/>
      <c r="D140" s="58"/>
      <c r="E140" s="121"/>
      <c r="G140" s="58"/>
      <c r="H140" s="100" t="e">
        <f t="shared" si="39"/>
        <v>#DIV/0!</v>
      </c>
      <c r="I140" s="58"/>
      <c r="J140" s="58" t="e">
        <f>#REF!</f>
        <v>#REF!</v>
      </c>
      <c r="K140" s="107">
        <f>HLOOKUP(Simulator!$C$6,Calculation_445!L$118:AF$133,6,FALSE)</f>
        <v>0</v>
      </c>
      <c r="L140" s="109" t="e">
        <f t="shared" si="40"/>
        <v>#DIV/0!</v>
      </c>
      <c r="M140" s="109" t="e">
        <f t="shared" si="47"/>
        <v>#DIV/0!</v>
      </c>
      <c r="N140" s="111" t="e">
        <f t="shared" si="41"/>
        <v>#DIV/0!</v>
      </c>
      <c r="O140" s="109" t="e">
        <f t="shared" si="42"/>
        <v>#DIV/0!</v>
      </c>
      <c r="P140" s="110" t="e">
        <f t="shared" si="48"/>
        <v>#DIV/0!</v>
      </c>
      <c r="Q140" s="110" t="e">
        <f t="shared" si="49"/>
        <v>#DIV/0!</v>
      </c>
      <c r="R140" s="111" t="e">
        <f t="shared" si="50"/>
        <v>#DIV/0!</v>
      </c>
      <c r="S140" s="112" t="e">
        <f t="shared" si="51"/>
        <v>#DIV/0!</v>
      </c>
      <c r="T140" s="112"/>
      <c r="U140" s="112" t="e">
        <f t="shared" si="43"/>
        <v>#DIV/0!</v>
      </c>
      <c r="V140" s="58">
        <f t="shared" si="44"/>
        <v>0</v>
      </c>
      <c r="W140" s="100" t="e">
        <f t="shared" si="45"/>
        <v>#DIV/0!</v>
      </c>
      <c r="X140" s="112" t="e">
        <f t="shared" si="46"/>
        <v>#DIV/0!</v>
      </c>
      <c r="Y140" s="58"/>
    </row>
    <row r="141" spans="1:32" ht="16.5" hidden="1" x14ac:dyDescent="0.15">
      <c r="A141" s="58"/>
      <c r="B141" s="95"/>
      <c r="C141" s="103"/>
      <c r="D141" s="58"/>
      <c r="E141" s="58"/>
      <c r="F141" s="58"/>
      <c r="G141" s="58"/>
      <c r="H141" s="100" t="e">
        <f t="shared" si="39"/>
        <v>#DIV/0!</v>
      </c>
      <c r="I141" s="58"/>
      <c r="J141" s="58" t="e">
        <f>#REF!</f>
        <v>#REF!</v>
      </c>
      <c r="K141" s="107">
        <f>HLOOKUP(Simulator!$C$6,Calculation_445!L$118:AF$133,7,FALSE)</f>
        <v>0</v>
      </c>
      <c r="L141" s="109" t="e">
        <f t="shared" si="40"/>
        <v>#DIV/0!</v>
      </c>
      <c r="M141" s="109" t="e">
        <f t="shared" si="47"/>
        <v>#DIV/0!</v>
      </c>
      <c r="N141" s="111" t="e">
        <f t="shared" si="41"/>
        <v>#DIV/0!</v>
      </c>
      <c r="O141" s="109" t="e">
        <f t="shared" si="42"/>
        <v>#DIV/0!</v>
      </c>
      <c r="P141" s="110" t="e">
        <f t="shared" si="48"/>
        <v>#DIV/0!</v>
      </c>
      <c r="Q141" s="110" t="e">
        <f t="shared" si="49"/>
        <v>#DIV/0!</v>
      </c>
      <c r="R141" s="111" t="e">
        <f t="shared" si="50"/>
        <v>#DIV/0!</v>
      </c>
      <c r="S141" s="112" t="e">
        <f t="shared" si="51"/>
        <v>#DIV/0!</v>
      </c>
      <c r="T141" s="112"/>
      <c r="U141" s="112" t="e">
        <f t="shared" si="43"/>
        <v>#DIV/0!</v>
      </c>
      <c r="V141" s="58">
        <f t="shared" si="44"/>
        <v>0</v>
      </c>
      <c r="W141" s="100" t="e">
        <f t="shared" si="45"/>
        <v>#DIV/0!</v>
      </c>
      <c r="X141" s="112" t="e">
        <f t="shared" si="46"/>
        <v>#DIV/0!</v>
      </c>
      <c r="Y141" s="58"/>
    </row>
    <row r="142" spans="1:32" ht="16.5" hidden="1" x14ac:dyDescent="0.15">
      <c r="A142" s="58"/>
      <c r="B142" s="58"/>
      <c r="C142" s="58"/>
      <c r="D142" s="58"/>
      <c r="E142" s="58"/>
      <c r="F142" s="58"/>
      <c r="G142" s="58"/>
      <c r="H142" s="100" t="e">
        <f t="shared" si="39"/>
        <v>#DIV/0!</v>
      </c>
      <c r="I142" s="58"/>
      <c r="J142" s="58" t="e">
        <f>#REF!</f>
        <v>#REF!</v>
      </c>
      <c r="K142" s="107">
        <f>HLOOKUP(Simulator!$C$6,Calculation_445!L$118:AF$133,8,FALSE)</f>
        <v>0</v>
      </c>
      <c r="L142" s="109" t="e">
        <f t="shared" si="40"/>
        <v>#DIV/0!</v>
      </c>
      <c r="M142" s="109" t="e">
        <f t="shared" si="47"/>
        <v>#DIV/0!</v>
      </c>
      <c r="N142" s="111" t="e">
        <f t="shared" si="41"/>
        <v>#DIV/0!</v>
      </c>
      <c r="O142" s="109" t="e">
        <f t="shared" si="42"/>
        <v>#DIV/0!</v>
      </c>
      <c r="P142" s="110" t="e">
        <f t="shared" si="48"/>
        <v>#DIV/0!</v>
      </c>
      <c r="Q142" s="110" t="e">
        <f t="shared" si="49"/>
        <v>#DIV/0!</v>
      </c>
      <c r="R142" s="111" t="e">
        <f t="shared" si="50"/>
        <v>#DIV/0!</v>
      </c>
      <c r="S142" s="112" t="e">
        <f t="shared" si="51"/>
        <v>#DIV/0!</v>
      </c>
      <c r="T142" s="112"/>
      <c r="U142" s="112" t="e">
        <f t="shared" si="43"/>
        <v>#DIV/0!</v>
      </c>
      <c r="V142" s="58">
        <f t="shared" si="44"/>
        <v>0</v>
      </c>
      <c r="W142" s="100" t="e">
        <f t="shared" si="45"/>
        <v>#DIV/0!</v>
      </c>
      <c r="X142" s="112" t="e">
        <f t="shared" si="46"/>
        <v>#DIV/0!</v>
      </c>
      <c r="Y142" s="58"/>
    </row>
    <row r="143" spans="1:32" ht="16.5" hidden="1" x14ac:dyDescent="0.15">
      <c r="A143" s="58"/>
      <c r="B143" s="58"/>
      <c r="C143" s="58"/>
      <c r="D143" s="58"/>
      <c r="E143" s="58"/>
      <c r="F143" s="58"/>
      <c r="G143" s="58"/>
      <c r="H143" s="100" t="e">
        <f t="shared" si="39"/>
        <v>#DIV/0!</v>
      </c>
      <c r="I143" s="58"/>
      <c r="J143" s="58" t="e">
        <f>#REF!</f>
        <v>#REF!</v>
      </c>
      <c r="K143" s="107">
        <f>HLOOKUP(Simulator!$C$6,Calculation_445!L$118:AF$133,9,FALSE)</f>
        <v>0</v>
      </c>
      <c r="L143" s="109" t="e">
        <f t="shared" si="40"/>
        <v>#DIV/0!</v>
      </c>
      <c r="M143" s="109" t="e">
        <f t="shared" si="47"/>
        <v>#DIV/0!</v>
      </c>
      <c r="N143" s="111" t="e">
        <f t="shared" si="41"/>
        <v>#DIV/0!</v>
      </c>
      <c r="O143" s="109" t="e">
        <f t="shared" si="42"/>
        <v>#DIV/0!</v>
      </c>
      <c r="P143" s="110" t="e">
        <f t="shared" si="48"/>
        <v>#DIV/0!</v>
      </c>
      <c r="Q143" s="110" t="e">
        <f t="shared" si="49"/>
        <v>#DIV/0!</v>
      </c>
      <c r="R143" s="111" t="e">
        <f t="shared" si="50"/>
        <v>#DIV/0!</v>
      </c>
      <c r="S143" s="112" t="e">
        <f t="shared" si="51"/>
        <v>#DIV/0!</v>
      </c>
      <c r="T143" s="112"/>
      <c r="U143" s="112" t="e">
        <f t="shared" si="43"/>
        <v>#DIV/0!</v>
      </c>
      <c r="V143" s="58">
        <f t="shared" si="44"/>
        <v>0</v>
      </c>
      <c r="W143" s="100" t="e">
        <f t="shared" si="45"/>
        <v>#DIV/0!</v>
      </c>
      <c r="X143" s="112" t="e">
        <f t="shared" si="46"/>
        <v>#DIV/0!</v>
      </c>
      <c r="Y143" s="58"/>
    </row>
    <row r="144" spans="1:32" ht="16.5" hidden="1" x14ac:dyDescent="0.15">
      <c r="A144" s="58"/>
      <c r="B144" s="58"/>
      <c r="C144" s="58"/>
      <c r="D144" s="58"/>
      <c r="E144" s="58"/>
      <c r="F144" s="58"/>
      <c r="G144" s="58"/>
      <c r="H144" s="100" t="e">
        <f t="shared" si="39"/>
        <v>#DIV/0!</v>
      </c>
      <c r="I144" s="58"/>
      <c r="J144" s="58" t="e">
        <f>#REF!</f>
        <v>#REF!</v>
      </c>
      <c r="K144" s="107">
        <f>HLOOKUP(Simulator!$C$6,Calculation_445!L$118:AF$133,10,FALSE)</f>
        <v>0</v>
      </c>
      <c r="L144" s="109" t="e">
        <f t="shared" si="40"/>
        <v>#DIV/0!</v>
      </c>
      <c r="M144" s="109" t="e">
        <f t="shared" si="47"/>
        <v>#DIV/0!</v>
      </c>
      <c r="N144" s="111" t="e">
        <f t="shared" si="41"/>
        <v>#DIV/0!</v>
      </c>
      <c r="O144" s="109" t="e">
        <f t="shared" si="42"/>
        <v>#DIV/0!</v>
      </c>
      <c r="P144" s="110" t="e">
        <f t="shared" si="48"/>
        <v>#DIV/0!</v>
      </c>
      <c r="Q144" s="110" t="e">
        <f t="shared" si="49"/>
        <v>#DIV/0!</v>
      </c>
      <c r="R144" s="111" t="e">
        <f t="shared" si="50"/>
        <v>#DIV/0!</v>
      </c>
      <c r="S144" s="112" t="e">
        <f t="shared" si="51"/>
        <v>#DIV/0!</v>
      </c>
      <c r="T144" s="112"/>
      <c r="U144" s="112" t="e">
        <f t="shared" si="43"/>
        <v>#DIV/0!</v>
      </c>
      <c r="V144" s="58">
        <f t="shared" si="44"/>
        <v>0</v>
      </c>
      <c r="W144" s="100" t="e">
        <f t="shared" si="45"/>
        <v>#DIV/0!</v>
      </c>
      <c r="X144" s="112" t="e">
        <f t="shared" si="46"/>
        <v>#DIV/0!</v>
      </c>
      <c r="Y144" s="58"/>
    </row>
    <row r="145" spans="1:25" ht="16.5" hidden="1" x14ac:dyDescent="0.15">
      <c r="A145" s="58"/>
      <c r="B145" s="58"/>
      <c r="C145" s="58"/>
      <c r="D145" s="58"/>
      <c r="E145" s="58"/>
      <c r="F145" s="58"/>
      <c r="G145" s="58"/>
      <c r="H145" s="100" t="e">
        <f t="shared" si="39"/>
        <v>#DIV/0!</v>
      </c>
      <c r="I145" s="58"/>
      <c r="J145" s="58" t="e">
        <f>#REF!</f>
        <v>#REF!</v>
      </c>
      <c r="K145" s="107">
        <f>HLOOKUP(Simulator!$C$6,Calculation_445!L$118:AF$133,11,FALSE)</f>
        <v>0</v>
      </c>
      <c r="L145" s="109" t="e">
        <f t="shared" si="40"/>
        <v>#DIV/0!</v>
      </c>
      <c r="M145" s="109" t="e">
        <f t="shared" si="47"/>
        <v>#DIV/0!</v>
      </c>
      <c r="N145" s="111" t="e">
        <f t="shared" si="41"/>
        <v>#DIV/0!</v>
      </c>
      <c r="O145" s="109" t="e">
        <f t="shared" si="42"/>
        <v>#DIV/0!</v>
      </c>
      <c r="P145" s="110" t="e">
        <f t="shared" si="48"/>
        <v>#DIV/0!</v>
      </c>
      <c r="Q145" s="110" t="e">
        <f t="shared" si="49"/>
        <v>#DIV/0!</v>
      </c>
      <c r="R145" s="111" t="e">
        <f t="shared" si="50"/>
        <v>#DIV/0!</v>
      </c>
      <c r="S145" s="112" t="e">
        <f t="shared" si="51"/>
        <v>#DIV/0!</v>
      </c>
      <c r="T145" s="112"/>
      <c r="U145" s="112" t="e">
        <f t="shared" si="43"/>
        <v>#DIV/0!</v>
      </c>
      <c r="V145" s="58">
        <f t="shared" si="44"/>
        <v>0</v>
      </c>
      <c r="W145" s="100" t="e">
        <f t="shared" si="45"/>
        <v>#DIV/0!</v>
      </c>
      <c r="X145" s="112" t="e">
        <f t="shared" si="46"/>
        <v>#DIV/0!</v>
      </c>
      <c r="Y145" s="58"/>
    </row>
    <row r="146" spans="1:25" ht="16.5" hidden="1" x14ac:dyDescent="0.15">
      <c r="A146" s="58"/>
      <c r="B146" s="58"/>
      <c r="C146" s="58"/>
      <c r="D146" s="58"/>
      <c r="E146" s="58"/>
      <c r="F146" s="58"/>
      <c r="G146" s="58"/>
      <c r="H146" s="100" t="e">
        <f t="shared" si="39"/>
        <v>#DIV/0!</v>
      </c>
      <c r="I146" s="58"/>
      <c r="J146" s="58" t="e">
        <f>#REF!</f>
        <v>#REF!</v>
      </c>
      <c r="K146" s="107">
        <f>HLOOKUP(Simulator!$C$6,Calculation_445!L$118:AF$133,12,FALSE)</f>
        <v>0</v>
      </c>
      <c r="L146" s="109" t="e">
        <f t="shared" si="40"/>
        <v>#DIV/0!</v>
      </c>
      <c r="M146" s="109" t="e">
        <f t="shared" si="47"/>
        <v>#DIV/0!</v>
      </c>
      <c r="N146" s="111" t="e">
        <f t="shared" si="41"/>
        <v>#DIV/0!</v>
      </c>
      <c r="O146" s="109" t="e">
        <f t="shared" si="42"/>
        <v>#DIV/0!</v>
      </c>
      <c r="P146" s="110" t="e">
        <f t="shared" si="48"/>
        <v>#DIV/0!</v>
      </c>
      <c r="Q146" s="110" t="e">
        <f t="shared" si="49"/>
        <v>#DIV/0!</v>
      </c>
      <c r="R146" s="111" t="e">
        <f t="shared" si="50"/>
        <v>#DIV/0!</v>
      </c>
      <c r="S146" s="112" t="e">
        <f t="shared" si="51"/>
        <v>#DIV/0!</v>
      </c>
      <c r="T146" s="112"/>
      <c r="U146" s="112" t="e">
        <f t="shared" si="43"/>
        <v>#DIV/0!</v>
      </c>
      <c r="V146" s="58">
        <f t="shared" si="44"/>
        <v>0</v>
      </c>
      <c r="W146" s="100" t="e">
        <f t="shared" si="45"/>
        <v>#DIV/0!</v>
      </c>
      <c r="X146" s="112" t="e">
        <f t="shared" si="46"/>
        <v>#DIV/0!</v>
      </c>
      <c r="Y146" s="58"/>
    </row>
    <row r="147" spans="1:25" ht="16.5" hidden="1" x14ac:dyDescent="0.15">
      <c r="A147" s="58"/>
      <c r="B147" s="58"/>
      <c r="C147" s="58"/>
      <c r="D147" s="58"/>
      <c r="E147" s="58"/>
      <c r="F147" s="58"/>
      <c r="G147" s="58"/>
      <c r="H147" s="100" t="e">
        <f t="shared" si="39"/>
        <v>#DIV/0!</v>
      </c>
      <c r="I147" s="58"/>
      <c r="J147" s="58" t="e">
        <f>#REF!</f>
        <v>#REF!</v>
      </c>
      <c r="K147" s="107">
        <f>HLOOKUP(Simulator!$C$6,Calculation_445!L$118:AF$133,13,FALSE)</f>
        <v>0</v>
      </c>
      <c r="L147" s="109" t="e">
        <f t="shared" si="40"/>
        <v>#DIV/0!</v>
      </c>
      <c r="M147" s="109" t="e">
        <f t="shared" si="47"/>
        <v>#DIV/0!</v>
      </c>
      <c r="N147" s="111" t="e">
        <f t="shared" si="41"/>
        <v>#DIV/0!</v>
      </c>
      <c r="O147" s="109" t="e">
        <f t="shared" si="42"/>
        <v>#DIV/0!</v>
      </c>
      <c r="P147" s="110" t="e">
        <f t="shared" si="48"/>
        <v>#DIV/0!</v>
      </c>
      <c r="Q147" s="110" t="e">
        <f t="shared" si="49"/>
        <v>#DIV/0!</v>
      </c>
      <c r="R147" s="111" t="e">
        <f t="shared" si="50"/>
        <v>#DIV/0!</v>
      </c>
      <c r="S147" s="112" t="e">
        <f t="shared" si="51"/>
        <v>#DIV/0!</v>
      </c>
      <c r="T147" s="112"/>
      <c r="U147" s="112" t="e">
        <f t="shared" si="43"/>
        <v>#DIV/0!</v>
      </c>
      <c r="V147" s="58">
        <f t="shared" si="44"/>
        <v>0</v>
      </c>
      <c r="W147" s="100" t="e">
        <f t="shared" si="45"/>
        <v>#DIV/0!</v>
      </c>
      <c r="X147" s="112" t="e">
        <f t="shared" si="46"/>
        <v>#DIV/0!</v>
      </c>
      <c r="Y147" s="130"/>
    </row>
    <row r="148" spans="1:25" ht="16.5" hidden="1" x14ac:dyDescent="0.15">
      <c r="A148" s="58"/>
      <c r="B148" s="58"/>
      <c r="C148" s="58"/>
      <c r="D148" s="58"/>
      <c r="E148" s="58"/>
      <c r="F148" s="58"/>
      <c r="G148" s="58"/>
      <c r="H148" s="100" t="e">
        <f t="shared" si="39"/>
        <v>#DIV/0!</v>
      </c>
      <c r="I148" s="58"/>
      <c r="J148" s="58" t="e">
        <f>#REF!</f>
        <v>#REF!</v>
      </c>
      <c r="K148" s="107">
        <f>HLOOKUP(Simulator!$C$6,Calculation_445!L$118:AF$133,14,FALSE)</f>
        <v>0</v>
      </c>
      <c r="L148" s="109" t="e">
        <f t="shared" si="40"/>
        <v>#DIV/0!</v>
      </c>
      <c r="M148" s="109" t="e">
        <f t="shared" si="47"/>
        <v>#DIV/0!</v>
      </c>
      <c r="N148" s="111" t="e">
        <f t="shared" si="41"/>
        <v>#DIV/0!</v>
      </c>
      <c r="O148" s="109" t="e">
        <f t="shared" si="42"/>
        <v>#DIV/0!</v>
      </c>
      <c r="P148" s="110" t="e">
        <f t="shared" si="48"/>
        <v>#DIV/0!</v>
      </c>
      <c r="Q148" s="110" t="e">
        <f t="shared" si="49"/>
        <v>#DIV/0!</v>
      </c>
      <c r="R148" s="111" t="e">
        <f t="shared" si="50"/>
        <v>#DIV/0!</v>
      </c>
      <c r="S148" s="112" t="e">
        <f t="shared" si="51"/>
        <v>#DIV/0!</v>
      </c>
      <c r="T148" s="112"/>
      <c r="U148" s="112" t="e">
        <f t="shared" si="43"/>
        <v>#DIV/0!</v>
      </c>
      <c r="V148" s="58">
        <f t="shared" si="44"/>
        <v>0</v>
      </c>
      <c r="W148" s="100" t="e">
        <f t="shared" si="45"/>
        <v>#DIV/0!</v>
      </c>
      <c r="X148" s="112" t="e">
        <f t="shared" si="46"/>
        <v>#DIV/0!</v>
      </c>
      <c r="Y148" s="58"/>
    </row>
    <row r="149" spans="1:25" ht="16.5" hidden="1" x14ac:dyDescent="0.15">
      <c r="A149" s="58"/>
      <c r="B149" s="58"/>
      <c r="C149" s="58"/>
      <c r="D149" s="58"/>
      <c r="E149" s="58"/>
      <c r="F149" s="58"/>
      <c r="G149" s="58"/>
      <c r="H149" s="100" t="e">
        <f t="shared" si="39"/>
        <v>#DIV/0!</v>
      </c>
      <c r="I149" s="58"/>
      <c r="J149" s="58" t="e">
        <f>#REF!</f>
        <v>#REF!</v>
      </c>
      <c r="K149" s="107">
        <f>HLOOKUP(Simulator!$C$6,Calculation_445!L$118:AF$133,15,FALSE)</f>
        <v>0</v>
      </c>
      <c r="L149" s="109" t="e">
        <f t="shared" si="40"/>
        <v>#DIV/0!</v>
      </c>
      <c r="M149" s="109" t="e">
        <f t="shared" si="47"/>
        <v>#DIV/0!</v>
      </c>
      <c r="N149" s="111" t="e">
        <f t="shared" si="41"/>
        <v>#DIV/0!</v>
      </c>
      <c r="O149" s="109" t="e">
        <f t="shared" si="42"/>
        <v>#DIV/0!</v>
      </c>
      <c r="P149" s="110" t="e">
        <f t="shared" si="48"/>
        <v>#DIV/0!</v>
      </c>
      <c r="Q149" s="110" t="e">
        <f t="shared" si="49"/>
        <v>#DIV/0!</v>
      </c>
      <c r="R149" s="111" t="e">
        <f t="shared" si="50"/>
        <v>#DIV/0!</v>
      </c>
      <c r="S149" s="112" t="e">
        <f t="shared" si="51"/>
        <v>#DIV/0!</v>
      </c>
      <c r="T149" s="112"/>
      <c r="U149" s="112" t="e">
        <f t="shared" si="43"/>
        <v>#DIV/0!</v>
      </c>
      <c r="V149" s="131">
        <f t="shared" si="44"/>
        <v>0</v>
      </c>
      <c r="W149" s="100" t="e">
        <f t="shared" si="45"/>
        <v>#DIV/0!</v>
      </c>
      <c r="X149" s="112" t="e">
        <f t="shared" si="46"/>
        <v>#DIV/0!</v>
      </c>
      <c r="Y149" s="130"/>
    </row>
    <row r="150" spans="1:25" ht="16.5" hidden="1" x14ac:dyDescent="0.15">
      <c r="A150" s="58"/>
      <c r="B150" s="58"/>
      <c r="C150" s="58"/>
      <c r="D150" s="58"/>
      <c r="E150" s="58"/>
      <c r="F150" s="58"/>
      <c r="G150" s="58"/>
      <c r="H150" s="100" t="e">
        <f t="shared" si="39"/>
        <v>#DIV/0!</v>
      </c>
      <c r="I150" s="58"/>
      <c r="J150" s="58" t="e">
        <f>#REF!</f>
        <v>#REF!</v>
      </c>
      <c r="K150" s="107">
        <f>HLOOKUP(Simulator!$C$6,Calculation_445!L$118:AF$133,16,FALSE)</f>
        <v>0</v>
      </c>
      <c r="L150" s="109" t="e">
        <f t="shared" si="40"/>
        <v>#DIV/0!</v>
      </c>
      <c r="M150" s="109" t="e">
        <f t="shared" si="47"/>
        <v>#DIV/0!</v>
      </c>
      <c r="N150" s="111" t="e">
        <f t="shared" si="41"/>
        <v>#DIV/0!</v>
      </c>
      <c r="O150" s="109" t="e">
        <f t="shared" si="42"/>
        <v>#DIV/0!</v>
      </c>
      <c r="P150" s="110" t="e">
        <f t="shared" si="48"/>
        <v>#DIV/0!</v>
      </c>
      <c r="Q150" s="110" t="e">
        <f t="shared" si="49"/>
        <v>#DIV/0!</v>
      </c>
      <c r="R150" s="111" t="e">
        <f t="shared" si="50"/>
        <v>#DIV/0!</v>
      </c>
      <c r="S150" s="112" t="e">
        <f t="shared" si="51"/>
        <v>#DIV/0!</v>
      </c>
      <c r="T150" s="112"/>
      <c r="U150" s="112" t="e">
        <f t="shared" si="43"/>
        <v>#DIV/0!</v>
      </c>
      <c r="V150" s="58">
        <f t="shared" si="44"/>
        <v>0</v>
      </c>
      <c r="W150" s="100" t="e">
        <f t="shared" si="45"/>
        <v>#DIV/0!</v>
      </c>
      <c r="X150" s="112" t="e">
        <f t="shared" si="46"/>
        <v>#DIV/0!</v>
      </c>
      <c r="Y150" s="130"/>
    </row>
    <row r="151" spans="1:25" ht="16.5" hidden="1" x14ac:dyDescent="0.15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</row>
    <row r="152" spans="1:25" ht="16.5" hidden="1" x14ac:dyDescent="0.15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100"/>
      <c r="L152" s="100"/>
      <c r="M152" s="100"/>
      <c r="N152" s="58"/>
      <c r="O152" s="109"/>
      <c r="P152" s="104" t="s">
        <v>6</v>
      </c>
      <c r="Q152" s="104" t="s">
        <v>5</v>
      </c>
      <c r="R152" s="104"/>
      <c r="S152" s="104"/>
      <c r="T152" s="104"/>
      <c r="U152" s="58"/>
      <c r="V152" s="58"/>
      <c r="W152" s="58"/>
    </row>
    <row r="153" spans="1:25" ht="16.5" hidden="1" x14ac:dyDescent="0.15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100"/>
      <c r="L153" s="100"/>
      <c r="M153" s="100"/>
      <c r="N153" s="58"/>
      <c r="O153" s="109"/>
      <c r="P153" s="66"/>
      <c r="Q153" s="66">
        <f>$C$42</f>
        <v>5</v>
      </c>
      <c r="R153" s="66"/>
      <c r="S153" s="66"/>
      <c r="T153" s="66"/>
      <c r="U153" s="58"/>
      <c r="V153" s="58"/>
      <c r="W153" s="58"/>
    </row>
    <row r="154" spans="1:25" ht="16.5" hidden="1" x14ac:dyDescent="0.15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100"/>
      <c r="L154" s="100"/>
      <c r="M154" s="100"/>
      <c r="N154" s="58"/>
      <c r="O154" s="109"/>
      <c r="P154" s="66"/>
      <c r="Q154" s="66"/>
      <c r="R154" s="66"/>
      <c r="S154" s="66"/>
      <c r="T154" s="66"/>
      <c r="U154" s="58"/>
      <c r="V154" s="58"/>
      <c r="W154" s="58"/>
    </row>
    <row r="155" spans="1:25" ht="16.5" hidden="1" x14ac:dyDescent="0.15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100"/>
      <c r="L155" s="100"/>
      <c r="M155" s="100"/>
      <c r="N155" s="58"/>
      <c r="O155" s="109"/>
      <c r="P155" s="104" t="s">
        <v>134</v>
      </c>
      <c r="Q155" s="104" t="s">
        <v>4</v>
      </c>
      <c r="R155" s="104"/>
      <c r="S155" s="104" t="s">
        <v>5</v>
      </c>
      <c r="T155" s="66"/>
      <c r="U155" s="58"/>
      <c r="V155" s="58"/>
      <c r="W155" s="58"/>
    </row>
    <row r="156" spans="1:25" ht="16.5" hidden="1" x14ac:dyDescent="0.15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100"/>
      <c r="L156" s="100"/>
      <c r="M156" s="100"/>
      <c r="N156" s="58"/>
      <c r="O156" s="109"/>
      <c r="P156" s="66"/>
      <c r="Q156" s="66">
        <f>$C$44</f>
        <v>105</v>
      </c>
      <c r="R156" s="66"/>
      <c r="S156" s="66">
        <f>$D$44</f>
        <v>-30</v>
      </c>
      <c r="T156" s="66"/>
      <c r="U156" s="58"/>
      <c r="V156" s="58"/>
      <c r="W156" s="58"/>
    </row>
    <row r="157" spans="1:25" ht="16.5" hidden="1" x14ac:dyDescent="0.15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100"/>
      <c r="L157" s="100"/>
      <c r="M157" s="100"/>
      <c r="N157" s="58"/>
      <c r="O157" s="109"/>
      <c r="P157" s="66"/>
      <c r="Q157" s="66"/>
      <c r="R157" s="66"/>
      <c r="S157" s="66"/>
      <c r="T157" s="66"/>
      <c r="U157" s="58"/>
      <c r="V157" s="58"/>
      <c r="W157" s="58"/>
    </row>
    <row r="158" spans="1:25" ht="16.5" hidden="1" x14ac:dyDescent="0.15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100"/>
      <c r="L158" s="100"/>
      <c r="M158" s="100"/>
      <c r="N158" s="58"/>
      <c r="O158" s="109"/>
      <c r="P158" s="104" t="s">
        <v>7</v>
      </c>
      <c r="Q158" s="104" t="s">
        <v>4</v>
      </c>
      <c r="R158" s="104"/>
      <c r="S158" s="104" t="s">
        <v>5</v>
      </c>
      <c r="T158" s="66"/>
      <c r="U158" s="58"/>
      <c r="V158" s="58"/>
      <c r="W158" s="58"/>
    </row>
    <row r="159" spans="1:25" ht="16.5" hidden="1" x14ac:dyDescent="0.15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100"/>
      <c r="L159" s="100"/>
      <c r="M159" s="100"/>
      <c r="N159" s="58"/>
      <c r="O159" s="109"/>
      <c r="P159" s="66"/>
      <c r="Q159" s="66">
        <f>$C$46</f>
        <v>140</v>
      </c>
      <c r="R159" s="66"/>
      <c r="S159" s="66">
        <f>$D$46</f>
        <v>-25</v>
      </c>
      <c r="T159" s="66"/>
      <c r="U159" s="58"/>
      <c r="V159" s="58"/>
      <c r="W159" s="58"/>
    </row>
    <row r="160" spans="1:25" ht="16.5" hidden="1" x14ac:dyDescent="0.15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109"/>
      <c r="P160" s="66"/>
      <c r="Q160" s="66"/>
      <c r="R160" s="66"/>
      <c r="S160" s="66"/>
      <c r="T160" s="66"/>
      <c r="U160" s="58"/>
      <c r="V160" s="58"/>
      <c r="W160" s="58"/>
    </row>
    <row r="161" spans="1:24" ht="16.5" hidden="1" x14ac:dyDescent="0.15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100"/>
      <c r="M161" s="76"/>
      <c r="N161" s="58"/>
      <c r="O161" s="109"/>
      <c r="P161" s="66"/>
      <c r="Q161" s="66" t="s">
        <v>134</v>
      </c>
      <c r="R161" s="66" t="s">
        <v>6</v>
      </c>
      <c r="S161" s="66"/>
      <c r="T161" s="66"/>
      <c r="U161" s="66"/>
      <c r="V161" s="66" t="s">
        <v>7</v>
      </c>
      <c r="W161" s="66" t="s">
        <v>52</v>
      </c>
      <c r="X161" s="61" t="s">
        <v>95</v>
      </c>
    </row>
    <row r="162" spans="1:24" ht="16.5" hidden="1" x14ac:dyDescent="0.15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 t="s">
        <v>37</v>
      </c>
      <c r="M162" s="76"/>
      <c r="N162" s="100" t="s">
        <v>39</v>
      </c>
      <c r="O162" s="109"/>
      <c r="P162" s="66"/>
      <c r="Q162" s="66" t="s">
        <v>3</v>
      </c>
      <c r="R162" s="66" t="s">
        <v>38</v>
      </c>
      <c r="S162" s="66"/>
      <c r="T162" s="66" t="s">
        <v>39</v>
      </c>
      <c r="U162" s="66" t="s">
        <v>53</v>
      </c>
      <c r="V162" s="66" t="s">
        <v>3</v>
      </c>
      <c r="W162" s="66" t="s">
        <v>54</v>
      </c>
      <c r="X162" s="61" t="s">
        <v>96</v>
      </c>
    </row>
    <row r="163" spans="1:24" ht="16.5" hidden="1" x14ac:dyDescent="0.4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100">
        <v>900</v>
      </c>
      <c r="M163" s="125">
        <f t="shared" ref="M163:M176" si="52">M103</f>
        <v>2400</v>
      </c>
      <c r="N163" s="126">
        <f>IF(L163&gt;=M163,M163,L163)</f>
        <v>900</v>
      </c>
      <c r="O163" s="109"/>
      <c r="P163" s="58" t="str">
        <f t="shared" ref="P163:P176" si="53">P103</f>
        <v>PSL440-0404C4</v>
      </c>
      <c r="Q163" s="66" t="b">
        <f t="shared" ref="Q163:Q176" si="54">AND(S$156&lt;=$E$125,Q$156&gt;=$E$125)</f>
        <v>1</v>
      </c>
      <c r="R163" s="58">
        <f t="shared" ref="R163:R176" si="55">Q$153</f>
        <v>5</v>
      </c>
      <c r="S163" s="58"/>
      <c r="T163" s="126">
        <f>N163/I120</f>
        <v>225</v>
      </c>
      <c r="U163" s="66" t="b">
        <f t="shared" ref="U163:U176" si="56">AND(AND(Q163,R163&lt;=L137,T163&gt;=L137),X163)</f>
        <v>0</v>
      </c>
      <c r="V163" s="66" t="b">
        <f>AND(Q163,S$159&lt;X137,Q$159&gt;X137)</f>
        <v>1</v>
      </c>
      <c r="W163" s="66" t="b">
        <f>AND(U163,Q163,V163)</f>
        <v>0</v>
      </c>
      <c r="X163" s="61" t="b">
        <f t="shared" ref="X163:X176" si="57">IF(IFERROR(M137,FALSE),TRUE)</f>
        <v>0</v>
      </c>
    </row>
    <row r="164" spans="1:24" ht="16.5" hidden="1" x14ac:dyDescent="0.4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100">
        <v>900</v>
      </c>
      <c r="M164" s="125">
        <f t="shared" si="52"/>
        <v>2957.1428571428569</v>
      </c>
      <c r="N164" s="126">
        <f t="shared" ref="N164:N176" si="58">IF(L164&gt;=M164,M164,L164)</f>
        <v>900</v>
      </c>
      <c r="O164" s="109"/>
      <c r="P164" s="58" t="str">
        <f t="shared" si="53"/>
        <v>PSL445-0405C4</v>
      </c>
      <c r="Q164" s="66" t="b">
        <f t="shared" si="54"/>
        <v>1</v>
      </c>
      <c r="R164" s="58">
        <f t="shared" si="55"/>
        <v>5</v>
      </c>
      <c r="S164" s="58"/>
      <c r="T164" s="126">
        <f>N164/I121</f>
        <v>180</v>
      </c>
      <c r="U164" s="66" t="b">
        <f t="shared" si="56"/>
        <v>1</v>
      </c>
      <c r="V164" s="66" t="b">
        <f t="shared" ref="V164:V176" si="59">AND(Q164,S$159&lt;X138,Q$159&gt;X138)</f>
        <v>1</v>
      </c>
      <c r="W164" s="66" t="b">
        <f>AND(U164,Q164,V164)</f>
        <v>1</v>
      </c>
      <c r="X164" s="61" t="b">
        <f t="shared" si="57"/>
        <v>1</v>
      </c>
    </row>
    <row r="165" spans="1:24" ht="16.5" hidden="1" x14ac:dyDescent="0.4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100"/>
      <c r="M165" s="125">
        <f t="shared" si="52"/>
        <v>0</v>
      </c>
      <c r="N165" s="126">
        <f t="shared" si="58"/>
        <v>0</v>
      </c>
      <c r="O165" s="58"/>
      <c r="P165" s="58" t="e">
        <f t="shared" si="53"/>
        <v>#REF!</v>
      </c>
      <c r="Q165" s="66" t="b">
        <f t="shared" si="54"/>
        <v>1</v>
      </c>
      <c r="R165" s="58">
        <f t="shared" si="55"/>
        <v>5</v>
      </c>
      <c r="S165" s="58"/>
      <c r="T165" s="126" t="e">
        <f t="shared" ref="T165:T176" si="60">N165/I122</f>
        <v>#DIV/0!</v>
      </c>
      <c r="U165" s="66" t="e">
        <f t="shared" si="56"/>
        <v>#DIV/0!</v>
      </c>
      <c r="V165" s="66" t="e">
        <f t="shared" si="59"/>
        <v>#DIV/0!</v>
      </c>
      <c r="W165" s="66" t="e">
        <f t="shared" ref="W165:W174" si="61">AND(U165,Q165,V165)</f>
        <v>#DIV/0!</v>
      </c>
      <c r="X165" s="61" t="b">
        <f t="shared" si="57"/>
        <v>0</v>
      </c>
    </row>
    <row r="166" spans="1:24" ht="16.5" hidden="1" x14ac:dyDescent="0.4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100"/>
      <c r="M166" s="125">
        <f t="shared" si="52"/>
        <v>0</v>
      </c>
      <c r="N166" s="126">
        <f t="shared" si="58"/>
        <v>0</v>
      </c>
      <c r="O166" s="58"/>
      <c r="P166" s="58" t="e">
        <f t="shared" si="53"/>
        <v>#REF!</v>
      </c>
      <c r="Q166" s="66" t="b">
        <f t="shared" si="54"/>
        <v>1</v>
      </c>
      <c r="R166" s="58">
        <f t="shared" si="55"/>
        <v>5</v>
      </c>
      <c r="S166" s="58"/>
      <c r="T166" s="126" t="e">
        <f t="shared" si="60"/>
        <v>#DIV/0!</v>
      </c>
      <c r="U166" s="66" t="e">
        <f t="shared" si="56"/>
        <v>#DIV/0!</v>
      </c>
      <c r="V166" s="66" t="e">
        <f t="shared" si="59"/>
        <v>#DIV/0!</v>
      </c>
      <c r="W166" s="66" t="e">
        <f t="shared" si="61"/>
        <v>#DIV/0!</v>
      </c>
      <c r="X166" s="61" t="b">
        <f t="shared" si="57"/>
        <v>0</v>
      </c>
    </row>
    <row r="167" spans="1:24" ht="16.5" hidden="1" x14ac:dyDescent="0.4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100"/>
      <c r="M167" s="125">
        <f t="shared" si="52"/>
        <v>0</v>
      </c>
      <c r="N167" s="126">
        <f t="shared" si="58"/>
        <v>0</v>
      </c>
      <c r="O167" s="58"/>
      <c r="P167" s="58" t="e">
        <f t="shared" si="53"/>
        <v>#REF!</v>
      </c>
      <c r="Q167" s="66" t="b">
        <f t="shared" si="54"/>
        <v>1</v>
      </c>
      <c r="R167" s="58">
        <f t="shared" si="55"/>
        <v>5</v>
      </c>
      <c r="S167" s="58"/>
      <c r="T167" s="126" t="e">
        <f t="shared" si="60"/>
        <v>#DIV/0!</v>
      </c>
      <c r="U167" s="66" t="e">
        <f t="shared" si="56"/>
        <v>#DIV/0!</v>
      </c>
      <c r="V167" s="66" t="e">
        <f t="shared" si="59"/>
        <v>#DIV/0!</v>
      </c>
      <c r="W167" s="66" t="e">
        <f t="shared" si="61"/>
        <v>#DIV/0!</v>
      </c>
      <c r="X167" s="61" t="b">
        <f t="shared" si="57"/>
        <v>0</v>
      </c>
    </row>
    <row r="168" spans="1:24" ht="16.5" hidden="1" x14ac:dyDescent="0.4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100"/>
      <c r="M168" s="125">
        <f t="shared" si="52"/>
        <v>0</v>
      </c>
      <c r="N168" s="126">
        <f t="shared" si="58"/>
        <v>0</v>
      </c>
      <c r="O168" s="58"/>
      <c r="P168" s="58" t="e">
        <f t="shared" si="53"/>
        <v>#REF!</v>
      </c>
      <c r="Q168" s="66" t="b">
        <f t="shared" si="54"/>
        <v>1</v>
      </c>
      <c r="R168" s="58">
        <f t="shared" si="55"/>
        <v>5</v>
      </c>
      <c r="S168" s="58"/>
      <c r="T168" s="126" t="e">
        <f t="shared" si="60"/>
        <v>#DIV/0!</v>
      </c>
      <c r="U168" s="66" t="e">
        <f t="shared" si="56"/>
        <v>#DIV/0!</v>
      </c>
      <c r="V168" s="66" t="e">
        <f t="shared" si="59"/>
        <v>#DIV/0!</v>
      </c>
      <c r="W168" s="66" t="e">
        <f t="shared" si="61"/>
        <v>#DIV/0!</v>
      </c>
      <c r="X168" s="61" t="b">
        <f t="shared" si="57"/>
        <v>0</v>
      </c>
    </row>
    <row r="169" spans="1:24" ht="16.5" hidden="1" x14ac:dyDescent="0.4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100"/>
      <c r="M169" s="125">
        <f t="shared" si="52"/>
        <v>0</v>
      </c>
      <c r="N169" s="126">
        <f t="shared" si="58"/>
        <v>0</v>
      </c>
      <c r="O169" s="58"/>
      <c r="P169" s="58" t="e">
        <f t="shared" si="53"/>
        <v>#REF!</v>
      </c>
      <c r="Q169" s="66" t="b">
        <f t="shared" si="54"/>
        <v>1</v>
      </c>
      <c r="R169" s="58">
        <f t="shared" si="55"/>
        <v>5</v>
      </c>
      <c r="S169" s="58"/>
      <c r="T169" s="126" t="e">
        <f t="shared" si="60"/>
        <v>#DIV/0!</v>
      </c>
      <c r="U169" s="66" t="e">
        <f t="shared" si="56"/>
        <v>#DIV/0!</v>
      </c>
      <c r="V169" s="66" t="e">
        <f t="shared" si="59"/>
        <v>#DIV/0!</v>
      </c>
      <c r="W169" s="66" t="e">
        <f t="shared" si="61"/>
        <v>#DIV/0!</v>
      </c>
      <c r="X169" s="61" t="b">
        <f t="shared" si="57"/>
        <v>0</v>
      </c>
    </row>
    <row r="170" spans="1:24" ht="16.5" hidden="1" x14ac:dyDescent="0.4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100"/>
      <c r="M170" s="125">
        <f t="shared" si="52"/>
        <v>0</v>
      </c>
      <c r="N170" s="126">
        <f t="shared" si="58"/>
        <v>0</v>
      </c>
      <c r="O170" s="58"/>
      <c r="P170" s="58" t="e">
        <f t="shared" si="53"/>
        <v>#REF!</v>
      </c>
      <c r="Q170" s="66" t="b">
        <f t="shared" si="54"/>
        <v>1</v>
      </c>
      <c r="R170" s="58">
        <f t="shared" si="55"/>
        <v>5</v>
      </c>
      <c r="S170" s="58"/>
      <c r="T170" s="126" t="e">
        <f t="shared" si="60"/>
        <v>#DIV/0!</v>
      </c>
      <c r="U170" s="66" t="e">
        <f t="shared" si="56"/>
        <v>#DIV/0!</v>
      </c>
      <c r="V170" s="66" t="e">
        <f t="shared" si="59"/>
        <v>#DIV/0!</v>
      </c>
      <c r="W170" s="66" t="e">
        <f t="shared" si="61"/>
        <v>#DIV/0!</v>
      </c>
      <c r="X170" s="61" t="b">
        <f t="shared" si="57"/>
        <v>0</v>
      </c>
    </row>
    <row r="171" spans="1:24" ht="16.5" hidden="1" x14ac:dyDescent="0.4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100"/>
      <c r="M171" s="125">
        <f t="shared" si="52"/>
        <v>0</v>
      </c>
      <c r="N171" s="126">
        <f t="shared" si="58"/>
        <v>0</v>
      </c>
      <c r="O171" s="58"/>
      <c r="P171" s="58" t="e">
        <f t="shared" si="53"/>
        <v>#REF!</v>
      </c>
      <c r="Q171" s="66" t="b">
        <f t="shared" si="54"/>
        <v>1</v>
      </c>
      <c r="R171" s="58">
        <f t="shared" si="55"/>
        <v>5</v>
      </c>
      <c r="S171" s="58"/>
      <c r="T171" s="126" t="e">
        <f t="shared" si="60"/>
        <v>#DIV/0!</v>
      </c>
      <c r="U171" s="66" t="e">
        <f t="shared" si="56"/>
        <v>#DIV/0!</v>
      </c>
      <c r="V171" s="66" t="e">
        <f t="shared" si="59"/>
        <v>#DIV/0!</v>
      </c>
      <c r="W171" s="66" t="e">
        <f t="shared" si="61"/>
        <v>#DIV/0!</v>
      </c>
      <c r="X171" s="61" t="b">
        <f t="shared" si="57"/>
        <v>0</v>
      </c>
    </row>
    <row r="172" spans="1:24" ht="16.5" hidden="1" x14ac:dyDescent="0.4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100"/>
      <c r="M172" s="125">
        <f t="shared" si="52"/>
        <v>0</v>
      </c>
      <c r="N172" s="126">
        <f t="shared" si="58"/>
        <v>0</v>
      </c>
      <c r="O172" s="58"/>
      <c r="P172" s="58" t="e">
        <f t="shared" si="53"/>
        <v>#REF!</v>
      </c>
      <c r="Q172" s="66" t="b">
        <f t="shared" si="54"/>
        <v>1</v>
      </c>
      <c r="R172" s="58">
        <f t="shared" si="55"/>
        <v>5</v>
      </c>
      <c r="S172" s="58"/>
      <c r="T172" s="126" t="e">
        <f t="shared" si="60"/>
        <v>#DIV/0!</v>
      </c>
      <c r="U172" s="66" t="e">
        <f t="shared" si="56"/>
        <v>#DIV/0!</v>
      </c>
      <c r="V172" s="66" t="e">
        <f t="shared" si="59"/>
        <v>#DIV/0!</v>
      </c>
      <c r="W172" s="66" t="e">
        <f t="shared" si="61"/>
        <v>#DIV/0!</v>
      </c>
      <c r="X172" s="61" t="b">
        <f t="shared" si="57"/>
        <v>0</v>
      </c>
    </row>
    <row r="173" spans="1:24" ht="16.5" hidden="1" x14ac:dyDescent="0.4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100"/>
      <c r="M173" s="125">
        <f t="shared" si="52"/>
        <v>0</v>
      </c>
      <c r="N173" s="126">
        <f t="shared" si="58"/>
        <v>0</v>
      </c>
      <c r="O173" s="58"/>
      <c r="P173" s="58" t="e">
        <f t="shared" si="53"/>
        <v>#REF!</v>
      </c>
      <c r="Q173" s="66" t="b">
        <f t="shared" si="54"/>
        <v>1</v>
      </c>
      <c r="R173" s="58">
        <f t="shared" si="55"/>
        <v>5</v>
      </c>
      <c r="S173" s="58"/>
      <c r="T173" s="126" t="e">
        <f t="shared" si="60"/>
        <v>#DIV/0!</v>
      </c>
      <c r="U173" s="66" t="e">
        <f t="shared" si="56"/>
        <v>#DIV/0!</v>
      </c>
      <c r="V173" s="66" t="e">
        <f t="shared" si="59"/>
        <v>#DIV/0!</v>
      </c>
      <c r="W173" s="66" t="e">
        <f t="shared" si="61"/>
        <v>#DIV/0!</v>
      </c>
      <c r="X173" s="61" t="b">
        <f t="shared" si="57"/>
        <v>0</v>
      </c>
    </row>
    <row r="174" spans="1:24" ht="16.5" hidden="1" x14ac:dyDescent="0.4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100"/>
      <c r="M174" s="125">
        <f t="shared" si="52"/>
        <v>0</v>
      </c>
      <c r="N174" s="126">
        <f t="shared" si="58"/>
        <v>0</v>
      </c>
      <c r="O174" s="58"/>
      <c r="P174" s="58" t="e">
        <f t="shared" si="53"/>
        <v>#REF!</v>
      </c>
      <c r="Q174" s="66" t="b">
        <f t="shared" si="54"/>
        <v>1</v>
      </c>
      <c r="R174" s="58">
        <f t="shared" si="55"/>
        <v>5</v>
      </c>
      <c r="S174" s="58"/>
      <c r="T174" s="126" t="e">
        <f t="shared" si="60"/>
        <v>#DIV/0!</v>
      </c>
      <c r="U174" s="66" t="e">
        <f t="shared" si="56"/>
        <v>#DIV/0!</v>
      </c>
      <c r="V174" s="66" t="e">
        <f t="shared" si="59"/>
        <v>#DIV/0!</v>
      </c>
      <c r="W174" s="66" t="e">
        <f t="shared" si="61"/>
        <v>#DIV/0!</v>
      </c>
      <c r="X174" s="61" t="b">
        <f t="shared" si="57"/>
        <v>0</v>
      </c>
    </row>
    <row r="175" spans="1:24" ht="16.5" hidden="1" x14ac:dyDescent="0.4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100"/>
      <c r="M175" s="125">
        <f t="shared" si="52"/>
        <v>0</v>
      </c>
      <c r="N175" s="126">
        <f t="shared" si="58"/>
        <v>0</v>
      </c>
      <c r="O175" s="58"/>
      <c r="P175" s="58" t="e">
        <f t="shared" si="53"/>
        <v>#REF!</v>
      </c>
      <c r="Q175" s="66" t="b">
        <f t="shared" si="54"/>
        <v>1</v>
      </c>
      <c r="R175" s="58">
        <f>Q$153</f>
        <v>5</v>
      </c>
      <c r="S175" s="58"/>
      <c r="T175" s="126" t="e">
        <f t="shared" si="60"/>
        <v>#DIV/0!</v>
      </c>
      <c r="U175" s="66" t="e">
        <f t="shared" si="56"/>
        <v>#DIV/0!</v>
      </c>
      <c r="V175" s="66" t="e">
        <f t="shared" si="59"/>
        <v>#DIV/0!</v>
      </c>
      <c r="W175" s="66" t="e">
        <f>AND(U175,Q175,V175)</f>
        <v>#DIV/0!</v>
      </c>
      <c r="X175" s="61" t="b">
        <f t="shared" si="57"/>
        <v>0</v>
      </c>
    </row>
    <row r="176" spans="1:24" ht="16.5" hidden="1" x14ac:dyDescent="0.4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100"/>
      <c r="M176" s="125">
        <f t="shared" si="52"/>
        <v>0</v>
      </c>
      <c r="N176" s="126">
        <f t="shared" si="58"/>
        <v>0</v>
      </c>
      <c r="O176" s="58"/>
      <c r="P176" s="58" t="e">
        <f t="shared" si="53"/>
        <v>#REF!</v>
      </c>
      <c r="Q176" s="66" t="b">
        <f t="shared" si="54"/>
        <v>1</v>
      </c>
      <c r="R176" s="58">
        <f t="shared" si="55"/>
        <v>5</v>
      </c>
      <c r="S176" s="58"/>
      <c r="T176" s="126" t="e">
        <f t="shared" si="60"/>
        <v>#DIV/0!</v>
      </c>
      <c r="U176" s="66" t="e">
        <f t="shared" si="56"/>
        <v>#DIV/0!</v>
      </c>
      <c r="V176" s="66" t="e">
        <f t="shared" si="59"/>
        <v>#DIV/0!</v>
      </c>
      <c r="W176" s="66" t="e">
        <f>AND(U176,Q176,V176)</f>
        <v>#DIV/0!</v>
      </c>
      <c r="X176" s="61" t="b">
        <f t="shared" si="57"/>
        <v>0</v>
      </c>
    </row>
  </sheetData>
  <sheetProtection password="C071" sheet="1" objects="1" scenarios="1" selectLockedCells="1" selectUnlockedCells="1"/>
  <mergeCells count="1">
    <mergeCell ref="A49:B49"/>
  </mergeCells>
  <phoneticPr fontId="4"/>
  <conditionalFormatting sqref="C26:P38">
    <cfRule type="cellIs" dxfId="1" priority="2" stopIfTrue="1" operator="equal">
      <formula>"Not Applicable"</formula>
    </cfRule>
  </conditionalFormatting>
  <conditionalFormatting sqref="C25:P25">
    <cfRule type="cellIs" dxfId="0" priority="1" stopIfTrue="1" operator="equal">
      <formula>"Not Applicable"</formula>
    </cfRule>
  </conditionalFormatting>
  <pageMargins left="0.19685039370078741" right="0.19685039370078741" top="0.19685039370078741" bottom="0.19685039370078741" header="0.51181102362204722" footer="0.51181102362204722"/>
  <pageSetup paperSize="9" scale="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opLeftCell="L11" zoomScale="90" zoomScaleNormal="90" workbookViewId="0">
      <selection activeCell="O23" sqref="O23"/>
    </sheetView>
  </sheetViews>
  <sheetFormatPr defaultRowHeight="15" x14ac:dyDescent="0.15"/>
  <cols>
    <col min="1" max="8" width="9.125" style="44" hidden="1" customWidth="1"/>
    <col min="9" max="9" width="0" style="44" hidden="1" customWidth="1"/>
    <col min="10" max="10" width="9.125" style="44" hidden="1" customWidth="1"/>
    <col min="11" max="11" width="0" style="44" hidden="1" customWidth="1"/>
    <col min="12" max="16384" width="9" style="44"/>
  </cols>
  <sheetData>
    <row r="1" spans="1:11" hidden="1" x14ac:dyDescent="0.15">
      <c r="A1" s="43" t="s">
        <v>145</v>
      </c>
      <c r="B1" s="43" t="s">
        <v>146</v>
      </c>
    </row>
    <row r="2" spans="1:11" hidden="1" x14ac:dyDescent="0.15">
      <c r="A2" s="45">
        <f>Calculation_440!G52</f>
        <v>2.6927154478637799E-6</v>
      </c>
      <c r="B2" s="45">
        <f>Calculation_440!F52</f>
        <v>5.0684039881566125E-7</v>
      </c>
    </row>
    <row r="3" spans="1:11" hidden="1" x14ac:dyDescent="0.15">
      <c r="A3" s="45">
        <f>Calculation_440!G53</f>
        <v>-7.7823048568234599E-4</v>
      </c>
      <c r="B3" s="45">
        <f>Calculation_440!F53</f>
        <v>-1.711094481396001E-3</v>
      </c>
    </row>
    <row r="4" spans="1:11" hidden="1" x14ac:dyDescent="0.15">
      <c r="A4" s="45">
        <f>Calculation_440!G54</f>
        <v>1.0177728149871439</v>
      </c>
      <c r="B4" s="45">
        <f>Calculation_440!F54</f>
        <v>1.0424605867856402</v>
      </c>
    </row>
    <row r="5" spans="1:11" hidden="1" x14ac:dyDescent="0.15"/>
    <row r="6" spans="1:11" hidden="1" x14ac:dyDescent="0.15">
      <c r="A6" s="46" t="s">
        <v>152</v>
      </c>
      <c r="B6" s="46" t="s">
        <v>107</v>
      </c>
      <c r="C6" s="46" t="s">
        <v>108</v>
      </c>
      <c r="D6" s="46" t="s">
        <v>109</v>
      </c>
      <c r="E6" s="46" t="s">
        <v>110</v>
      </c>
      <c r="F6" s="46" t="s">
        <v>111</v>
      </c>
      <c r="G6" s="46" t="s">
        <v>147</v>
      </c>
      <c r="H6" s="46" t="s">
        <v>148</v>
      </c>
      <c r="I6" s="44" t="s">
        <v>112</v>
      </c>
      <c r="K6" s="44" t="s">
        <v>149</v>
      </c>
    </row>
    <row r="7" spans="1:11" hidden="1" x14ac:dyDescent="0.15">
      <c r="A7" s="46" t="s">
        <v>150</v>
      </c>
      <c r="B7" s="44">
        <v>4</v>
      </c>
      <c r="C7" s="44">
        <v>4</v>
      </c>
      <c r="D7" s="133">
        <v>85</v>
      </c>
      <c r="E7" s="44">
        <v>700</v>
      </c>
      <c r="F7" s="47">
        <v>12</v>
      </c>
      <c r="G7" s="44">
        <v>3.5</v>
      </c>
      <c r="H7" s="47">
        <f>D7-(E7*F7/1000*G7)</f>
        <v>55.599999999999994</v>
      </c>
      <c r="I7" s="48">
        <f>$A$2*H7^2+$A$3*H7+$A$4</f>
        <v>0.98282735281011369</v>
      </c>
      <c r="J7" s="49">
        <f>F7/I7</f>
        <v>12.209672396366903</v>
      </c>
      <c r="K7" s="48">
        <f>$B$2*H7^2+$B$3*H7+$B$4</f>
        <v>0.94889055975530534</v>
      </c>
    </row>
    <row r="8" spans="1:11" hidden="1" x14ac:dyDescent="0.15">
      <c r="A8" s="46" t="s">
        <v>151</v>
      </c>
      <c r="B8" s="44">
        <v>4</v>
      </c>
      <c r="C8" s="44">
        <v>5</v>
      </c>
      <c r="D8" s="133">
        <v>85</v>
      </c>
      <c r="E8" s="44">
        <v>350</v>
      </c>
      <c r="F8" s="47">
        <v>11.2</v>
      </c>
      <c r="G8" s="44">
        <v>2.8</v>
      </c>
      <c r="H8" s="47">
        <f t="shared" ref="H8" si="0">D8-(E8*F8/1000*G8)</f>
        <v>74.024000000000001</v>
      </c>
      <c r="I8" s="48">
        <f>$A$2*H8^2+$A$3*H8+$A$4</f>
        <v>0.97491995738377091</v>
      </c>
      <c r="J8" s="49">
        <f t="shared" ref="J8" si="1">F8/I8</f>
        <v>11.488122604501358</v>
      </c>
      <c r="K8" s="48">
        <f>$B$2*H8^2+$B$3*H8+$B$4</f>
        <v>0.91857578750773383</v>
      </c>
    </row>
    <row r="9" spans="1:11" hidden="1" x14ac:dyDescent="0.15"/>
    <row r="10" spans="1:11" hidden="1" x14ac:dyDescent="0.15"/>
  </sheetData>
  <sheetProtection password="C071" sheet="1" objects="1" scenarios="1"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Simulator</vt:lpstr>
      <vt:lpstr>Calculation_440</vt:lpstr>
      <vt:lpstr>Calculation_445</vt:lpstr>
      <vt:lpstr>Tsスペック算出</vt:lpstr>
      <vt:lpstr>Calculation_440!Print_Area</vt:lpstr>
      <vt:lpstr>Calculation_445!Print_Area</vt:lpstr>
      <vt:lpstr>Simulator!Print_Area</vt:lpstr>
    </vt:vector>
  </TitlesOfParts>
  <Company>CITIZEN ELECTRONICS CO.,LTD.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CITILED Lighting LED Selection Simulator</dc:title>
  <dc:creator>貴家 健次</dc:creator>
  <cp:lastModifiedBy>舟久保 拓也</cp:lastModifiedBy>
  <cp:lastPrinted>2014-05-01T10:43:19Z</cp:lastPrinted>
  <dcterms:created xsi:type="dcterms:W3CDTF">2011-08-25T00:09:33Z</dcterms:created>
  <dcterms:modified xsi:type="dcterms:W3CDTF">2016-12-21T15:00:16Z</dcterms:modified>
</cp:coreProperties>
</file>